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DERNIERE_VERSION\"/>
    </mc:Choice>
  </mc:AlternateContent>
  <xr:revisionPtr revIDLastSave="0" documentId="13_ncr:1_{433FAFB2-5AF2-4867-9507-1A46DFB5EC09}" xr6:coauthVersionLast="47" xr6:coauthVersionMax="47" xr10:uidLastSave="{00000000-0000-0000-0000-000000000000}"/>
  <bookViews>
    <workbookView xWindow="14400" yWindow="0" windowWidth="14400" windowHeight="15750" xr2:uid="{00000000-000D-0000-FFFF-FFFF00000000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Propu!$O$317:$P$345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Info!$E$52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Propu!$F$317:$F$346</definedName>
    <definedName name="Liste_fusex">Propu!$R$317:$R$346</definedName>
    <definedName name="Liste_H2O">Propu!$C$317:$D$346</definedName>
    <definedName name="Liste_minif">Propu!$L$317:$M$346</definedName>
    <definedName name="Liste_minifT">Propu!$O$317:$O$346</definedName>
    <definedName name="Liste_propu">Propu!$A$317:$A$330</definedName>
    <definedName name="Liste_RC">Propu!$I$317:$J$346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Info!$E$53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13" i="6"/>
  <c r="C33" i="6" l="1"/>
  <c r="O7" i="6" l="1"/>
  <c r="C14" i="6"/>
  <c r="H6" i="7" s="1"/>
  <c r="K25" i="7"/>
  <c r="H8" i="7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J304" i="4"/>
  <c r="B304" i="4"/>
  <c r="M7" i="6"/>
  <c r="C19" i="6"/>
  <c r="L322" i="4"/>
  <c r="L324" i="4"/>
  <c r="L325" i="4"/>
  <c r="L326" i="4"/>
  <c r="L320" i="4"/>
  <c r="L319" i="4"/>
  <c r="L318" i="4"/>
  <c r="L317" i="4"/>
  <c r="I321" i="4"/>
  <c r="I320" i="4"/>
  <c r="I319" i="4"/>
  <c r="I318" i="4"/>
  <c r="I317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J148" i="4"/>
  <c r="B148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103" i="4"/>
  <c r="C98" i="4"/>
  <c r="X104" i="4"/>
  <c r="X105" i="4" s="1"/>
  <c r="W104" i="4"/>
  <c r="V104" i="4"/>
  <c r="U104" i="4"/>
  <c r="T104" i="4"/>
  <c r="S104" i="4"/>
  <c r="R104" i="4"/>
  <c r="Q104" i="4"/>
  <c r="P105" i="4" s="1"/>
  <c r="P104" i="4"/>
  <c r="O104" i="4"/>
  <c r="N105" i="4" s="1"/>
  <c r="N104" i="4"/>
  <c r="M104" i="4"/>
  <c r="L104" i="4"/>
  <c r="K104" i="4"/>
  <c r="J105" i="4" s="1"/>
  <c r="J104" i="4"/>
  <c r="I105" i="4" s="1"/>
  <c r="I104" i="4"/>
  <c r="H104" i="4"/>
  <c r="G104" i="4"/>
  <c r="F104" i="4"/>
  <c r="E104" i="4"/>
  <c r="D104" i="4"/>
  <c r="C104" i="4"/>
  <c r="B105" i="4" s="1"/>
  <c r="B104" i="4"/>
  <c r="L102" i="4"/>
  <c r="H102" i="4"/>
  <c r="B102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100" i="4" s="1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D92" i="4" s="1"/>
  <c r="F92" i="4" s="1"/>
  <c r="H95" i="4"/>
  <c r="G95" i="4"/>
  <c r="F95" i="4"/>
  <c r="E95" i="4"/>
  <c r="D95" i="4"/>
  <c r="C95" i="4"/>
  <c r="B95" i="4"/>
  <c r="J92" i="4"/>
  <c r="B92" i="4"/>
  <c r="O344" i="4"/>
  <c r="O343" i="4"/>
  <c r="O342" i="4"/>
  <c r="O341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J203" i="4"/>
  <c r="B203" i="4"/>
  <c r="E5" i="7"/>
  <c r="H7" i="7"/>
  <c r="E7" i="7"/>
  <c r="E6" i="7"/>
  <c r="H9" i="7"/>
  <c r="K23" i="7"/>
  <c r="J26" i="7"/>
  <c r="J25" i="7"/>
  <c r="J23" i="7"/>
  <c r="G27" i="7"/>
  <c r="G26" i="7"/>
  <c r="F26" i="7"/>
  <c r="G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U20" i="7"/>
  <c r="Q17" i="7"/>
  <c r="U16" i="7"/>
  <c r="U13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E29" i="1" s="1"/>
  <c r="C161" i="6"/>
  <c r="C162" i="6"/>
  <c r="C160" i="6"/>
  <c r="C159" i="6"/>
  <c r="C158" i="6"/>
  <c r="C25" i="6"/>
  <c r="M21" i="6"/>
  <c r="C140" i="6"/>
  <c r="D25" i="7"/>
  <c r="F108" i="1"/>
  <c r="C113" i="1" s="1"/>
  <c r="C152" i="1"/>
  <c r="C150" i="1"/>
  <c r="C148" i="1"/>
  <c r="N33" i="1"/>
  <c r="C131" i="1"/>
  <c r="B25" i="1"/>
  <c r="J30" i="6"/>
  <c r="E191" i="6" s="1"/>
  <c r="G30" i="6"/>
  <c r="E182" i="6" s="1"/>
  <c r="J29" i="6"/>
  <c r="B188" i="6" s="1"/>
  <c r="G29" i="6"/>
  <c r="J28" i="6"/>
  <c r="C185" i="6" s="1"/>
  <c r="J27" i="6"/>
  <c r="G28" i="6"/>
  <c r="G27" i="6"/>
  <c r="W35" i="6"/>
  <c r="B100" i="6"/>
  <c r="B97" i="6"/>
  <c r="B98" i="6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S240" i="4"/>
  <c r="T240" i="4" s="1"/>
  <c r="U240" i="4" s="1"/>
  <c r="V240" i="4" s="1"/>
  <c r="W240" i="4" s="1"/>
  <c r="S239" i="4"/>
  <c r="T239" i="4" s="1"/>
  <c r="J238" i="4"/>
  <c r="B238" i="4"/>
  <c r="O321" i="4"/>
  <c r="O32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40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V255" i="4"/>
  <c r="W255" i="4" s="1"/>
  <c r="V254" i="4"/>
  <c r="W254" i="4" s="1"/>
  <c r="X254" i="4" s="1"/>
  <c r="J253" i="4"/>
  <c r="B253" i="4"/>
  <c r="O337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T235" i="4" s="1"/>
  <c r="S234" i="4"/>
  <c r="R236" i="4" s="1"/>
  <c r="J233" i="4"/>
  <c r="B233" i="4"/>
  <c r="O346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S211" i="4"/>
  <c r="R211" i="4"/>
  <c r="J208" i="4"/>
  <c r="B208" i="4"/>
  <c r="O336" i="4"/>
  <c r="O335" i="4"/>
  <c r="O334" i="4"/>
  <c r="O333" i="4"/>
  <c r="O338" i="4"/>
  <c r="O339" i="4"/>
  <c r="O345" i="4"/>
  <c r="O323" i="4"/>
  <c r="O324" i="4"/>
  <c r="O325" i="4"/>
  <c r="O326" i="4"/>
  <c r="O327" i="4"/>
  <c r="O319" i="4"/>
  <c r="O322" i="4"/>
  <c r="O328" i="4"/>
  <c r="O329" i="4"/>
  <c r="O330" i="4"/>
  <c r="O331" i="4"/>
  <c r="O332" i="4"/>
  <c r="O318" i="4"/>
  <c r="O317" i="4"/>
  <c r="U256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D228" i="4" s="1"/>
  <c r="F228" i="4" s="1"/>
  <c r="G231" i="4"/>
  <c r="F231" i="4"/>
  <c r="E231" i="4"/>
  <c r="D231" i="4"/>
  <c r="C231" i="4"/>
  <c r="B231" i="4"/>
  <c r="J228" i="4"/>
  <c r="B228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U225" i="4" s="1"/>
  <c r="R226" i="4"/>
  <c r="T224" i="4"/>
  <c r="U224" i="4" s="1"/>
  <c r="V224" i="4" s="1"/>
  <c r="W224" i="4" s="1"/>
  <c r="J223" i="4"/>
  <c r="B223" i="4"/>
  <c r="V249" i="4"/>
  <c r="W249" i="4" s="1"/>
  <c r="W244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J248" i="4"/>
  <c r="B248" i="4"/>
  <c r="J246" i="4"/>
  <c r="I246" i="4"/>
  <c r="H246" i="4"/>
  <c r="G246" i="4"/>
  <c r="F246" i="4"/>
  <c r="E246" i="4"/>
  <c r="D246" i="4"/>
  <c r="C246" i="4"/>
  <c r="B246" i="4"/>
  <c r="J243" i="4"/>
  <c r="B243" i="4"/>
  <c r="L194" i="4"/>
  <c r="K196" i="4" s="1"/>
  <c r="R334" i="4"/>
  <c r="R335" i="4"/>
  <c r="R336" i="4"/>
  <c r="R337" i="4"/>
  <c r="R338" i="4"/>
  <c r="R339" i="4"/>
  <c r="S195" i="4"/>
  <c r="T195" i="4" s="1"/>
  <c r="U195" i="4" s="1"/>
  <c r="V195" i="4" s="1"/>
  <c r="W195" i="4" s="1"/>
  <c r="X195" i="4" s="1"/>
  <c r="X196" i="4" s="1"/>
  <c r="J196" i="4"/>
  <c r="I196" i="4"/>
  <c r="H196" i="4"/>
  <c r="G196" i="4"/>
  <c r="F196" i="4"/>
  <c r="E196" i="4"/>
  <c r="D196" i="4"/>
  <c r="C196" i="4"/>
  <c r="B196" i="4"/>
  <c r="J193" i="4"/>
  <c r="B193" i="4"/>
  <c r="S200" i="4"/>
  <c r="T200" i="4" s="1"/>
  <c r="S199" i="4"/>
  <c r="T199" i="4" s="1"/>
  <c r="U199" i="4" s="1"/>
  <c r="V199" i="4" s="1"/>
  <c r="W199" i="4" s="1"/>
  <c r="X199" i="4" s="1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B213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S215" i="4"/>
  <c r="T215" i="4" s="1"/>
  <c r="S214" i="4"/>
  <c r="J213" i="4"/>
  <c r="A2" i="4"/>
  <c r="B133" i="4"/>
  <c r="B4" i="3"/>
  <c r="AC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M18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T165" i="4"/>
  <c r="S166" i="4" s="1"/>
  <c r="X164" i="4"/>
  <c r="L163" i="4"/>
  <c r="J163" i="4" s="1"/>
  <c r="B47" i="1"/>
  <c r="C27" i="1" s="1"/>
  <c r="D29" i="1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D31" i="4" s="1"/>
  <c r="F31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D56" i="4" s="1"/>
  <c r="F56" i="4" s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I75" i="4"/>
  <c r="D72" i="4" s="1"/>
  <c r="F72" i="4" s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D77" i="4" s="1"/>
  <c r="F77" i="4" s="1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D85" i="4" s="1"/>
  <c r="E84" i="4"/>
  <c r="F84" i="4"/>
  <c r="E85" i="4" s="1"/>
  <c r="G84" i="4"/>
  <c r="F85" i="4" s="1"/>
  <c r="H84" i="4"/>
  <c r="I84" i="4"/>
  <c r="J84" i="4"/>
  <c r="K84" i="4"/>
  <c r="L84" i="4"/>
  <c r="L85" i="4" s="1"/>
  <c r="M84" i="4"/>
  <c r="N84" i="4"/>
  <c r="O84" i="4"/>
  <c r="N85" i="4" s="1"/>
  <c r="P84" i="4"/>
  <c r="O85" i="4" s="1"/>
  <c r="Q84" i="4"/>
  <c r="R84" i="4"/>
  <c r="S84" i="4"/>
  <c r="T84" i="4"/>
  <c r="U84" i="4"/>
  <c r="V84" i="4"/>
  <c r="W84" i="4"/>
  <c r="V85" i="4" s="1"/>
  <c r="X84" i="4"/>
  <c r="H82" i="4"/>
  <c r="L82" i="4"/>
  <c r="C89" i="4"/>
  <c r="B89" i="4"/>
  <c r="D89" i="4"/>
  <c r="E89" i="4"/>
  <c r="F89" i="4"/>
  <c r="G89" i="4"/>
  <c r="F90" i="4" s="1"/>
  <c r="H89" i="4"/>
  <c r="G90" i="4" s="1"/>
  <c r="I89" i="4"/>
  <c r="J89" i="4"/>
  <c r="K89" i="4"/>
  <c r="K90" i="4" s="1"/>
  <c r="L89" i="4"/>
  <c r="M89" i="4"/>
  <c r="N89" i="4"/>
  <c r="O89" i="4"/>
  <c r="P89" i="4"/>
  <c r="O90" i="4" s="1"/>
  <c r="Q89" i="4"/>
  <c r="R89" i="4"/>
  <c r="S89" i="4"/>
  <c r="S90" i="4" s="1"/>
  <c r="T89" i="4"/>
  <c r="U89" i="4"/>
  <c r="V89" i="4"/>
  <c r="W89" i="4"/>
  <c r="V90" i="4" s="1"/>
  <c r="X89" i="4"/>
  <c r="X90" i="4" s="1"/>
  <c r="H87" i="4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D138" i="4" s="1"/>
  <c r="F138" i="4" s="1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6" i="4"/>
  <c r="C156" i="4"/>
  <c r="D156" i="4"/>
  <c r="D153" i="4" s="1"/>
  <c r="F153" i="4" s="1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J158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G176" i="4"/>
  <c r="H176" i="4"/>
  <c r="I176" i="4"/>
  <c r="D173" i="4" s="1"/>
  <c r="F173" i="4" s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D183" i="4" s="1"/>
  <c r="F183" i="4" s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J183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T190" i="4"/>
  <c r="U190" i="4" s="1"/>
  <c r="X189" i="4"/>
  <c r="L188" i="4"/>
  <c r="J188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J218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J263" i="4"/>
  <c r="B272" i="4"/>
  <c r="C272" i="4"/>
  <c r="D269" i="4" s="1"/>
  <c r="F269" i="4" s="1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D284" i="4" s="1"/>
  <c r="F284" i="4" s="1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J309" i="4"/>
  <c r="A31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53" i="4"/>
  <c r="B158" i="4"/>
  <c r="B163" i="4"/>
  <c r="B168" i="4"/>
  <c r="B173" i="4"/>
  <c r="B178" i="4"/>
  <c r="B183" i="4"/>
  <c r="B188" i="4"/>
  <c r="B218" i="4"/>
  <c r="B258" i="4"/>
  <c r="B263" i="4"/>
  <c r="B269" i="4"/>
  <c r="B274" i="4"/>
  <c r="B279" i="4"/>
  <c r="B284" i="4"/>
  <c r="B289" i="4"/>
  <c r="B294" i="4"/>
  <c r="B299" i="4"/>
  <c r="B309" i="4"/>
  <c r="E116" i="7"/>
  <c r="F85" i="7"/>
  <c r="H118" i="7"/>
  <c r="H111" i="7"/>
  <c r="E102" i="7"/>
  <c r="E103" i="7"/>
  <c r="E104" i="7"/>
  <c r="E100" i="7"/>
  <c r="H105" i="7"/>
  <c r="J105" i="7"/>
  <c r="J101" i="7"/>
  <c r="F97" i="7"/>
  <c r="J92" i="7"/>
  <c r="J88" i="7"/>
  <c r="J86" i="7"/>
  <c r="J84" i="7"/>
  <c r="F90" i="7"/>
  <c r="F82" i="7"/>
  <c r="D85" i="7"/>
  <c r="D83" i="7"/>
  <c r="D81" i="7"/>
  <c r="D80" i="7"/>
  <c r="B19" i="6"/>
  <c r="F321" i="4"/>
  <c r="F320" i="4"/>
  <c r="C21" i="5"/>
  <c r="C20" i="5"/>
  <c r="C26" i="5"/>
  <c r="C22" i="5"/>
  <c r="C17" i="5"/>
  <c r="C19" i="5"/>
  <c r="C16" i="5"/>
  <c r="C15" i="5"/>
  <c r="L2" i="6"/>
  <c r="C317" i="4"/>
  <c r="F317" i="4"/>
  <c r="R317" i="4"/>
  <c r="C318" i="4"/>
  <c r="F318" i="4"/>
  <c r="R318" i="4"/>
  <c r="C319" i="4"/>
  <c r="F319" i="4"/>
  <c r="C320" i="4"/>
  <c r="C321" i="4"/>
  <c r="C322" i="4"/>
  <c r="C323" i="4"/>
  <c r="C324" i="4"/>
  <c r="B146" i="2"/>
  <c r="B35" i="1"/>
  <c r="B36" i="6"/>
  <c r="B15" i="8"/>
  <c r="B76" i="2"/>
  <c r="B11" i="8"/>
  <c r="B107" i="1"/>
  <c r="F42" i="5"/>
  <c r="B71" i="8"/>
  <c r="B78" i="8"/>
  <c r="C5" i="8"/>
  <c r="B76" i="8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1" i="5"/>
  <c r="C53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2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6" i="6"/>
  <c r="B155" i="6"/>
  <c r="E175" i="6"/>
  <c r="C176" i="6"/>
  <c r="F176" i="6"/>
  <c r="G176" i="6"/>
  <c r="D176" i="6" s="1"/>
  <c r="E176" i="6" s="1"/>
  <c r="H176" i="6"/>
  <c r="C177" i="6"/>
  <c r="F177" i="6"/>
  <c r="G177" i="6"/>
  <c r="D177" i="6" s="1"/>
  <c r="E177" i="6" s="1"/>
  <c r="H177" i="6"/>
  <c r="C178" i="6"/>
  <c r="F178" i="6"/>
  <c r="G178" i="6"/>
  <c r="H178" i="6"/>
  <c r="C179" i="6"/>
  <c r="F179" i="6"/>
  <c r="G179" i="6"/>
  <c r="D179" i="6" s="1"/>
  <c r="E179" i="6" s="1"/>
  <c r="H179" i="6"/>
  <c r="C180" i="6"/>
  <c r="D180" i="6"/>
  <c r="E180" i="6" s="1"/>
  <c r="F180" i="6"/>
  <c r="G180" i="6"/>
  <c r="H180" i="6"/>
  <c r="U120" i="4"/>
  <c r="T121" i="4" s="1"/>
  <c r="W85" i="4"/>
  <c r="U85" i="4"/>
  <c r="M85" i="4"/>
  <c r="G85" i="4"/>
  <c r="V115" i="4"/>
  <c r="D133" i="4"/>
  <c r="F133" i="4" s="1"/>
  <c r="J87" i="4"/>
  <c r="Q90" i="4"/>
  <c r="I90" i="4"/>
  <c r="T214" i="4"/>
  <c r="U214" i="4" s="1"/>
  <c r="V214" i="4" s="1"/>
  <c r="W214" i="4" s="1"/>
  <c r="D263" i="4"/>
  <c r="F263" i="4" s="1"/>
  <c r="X85" i="4"/>
  <c r="T85" i="4"/>
  <c r="R85" i="4"/>
  <c r="P85" i="4"/>
  <c r="J85" i="4"/>
  <c r="H85" i="4"/>
  <c r="B85" i="4"/>
  <c r="V120" i="4"/>
  <c r="W120" i="4" s="1"/>
  <c r="T90" i="4"/>
  <c r="R90" i="4"/>
  <c r="N90" i="4"/>
  <c r="L90" i="4"/>
  <c r="D90" i="4"/>
  <c r="D51" i="4"/>
  <c r="F51" i="4" s="1"/>
  <c r="D36" i="4"/>
  <c r="F36" i="4" s="1"/>
  <c r="U165" i="4"/>
  <c r="T166" i="4" s="1"/>
  <c r="R201" i="4"/>
  <c r="T211" i="4"/>
  <c r="S226" i="4"/>
  <c r="S251" i="4"/>
  <c r="L246" i="4"/>
  <c r="K246" i="4"/>
  <c r="R251" i="4"/>
  <c r="U116" i="4"/>
  <c r="W115" i="4"/>
  <c r="X115" i="4" s="1"/>
  <c r="V116" i="4"/>
  <c r="U211" i="4"/>
  <c r="M246" i="4"/>
  <c r="V250" i="4"/>
  <c r="U251" i="4" s="1"/>
  <c r="T251" i="4"/>
  <c r="V211" i="4"/>
  <c r="N246" i="4"/>
  <c r="X245" i="4"/>
  <c r="X246" i="4" s="1"/>
  <c r="W211" i="4"/>
  <c r="X211" i="4"/>
  <c r="O246" i="4"/>
  <c r="P246" i="4"/>
  <c r="Q246" i="4"/>
  <c r="R246" i="4"/>
  <c r="S246" i="4"/>
  <c r="T246" i="4"/>
  <c r="U246" i="4"/>
  <c r="X244" i="4"/>
  <c r="V246" i="4"/>
  <c r="W130" i="4"/>
  <c r="V131" i="4" s="1"/>
  <c r="U125" i="4"/>
  <c r="V125" i="4" s="1"/>
  <c r="R241" i="4"/>
  <c r="T126" i="4"/>
  <c r="C163" i="6"/>
  <c r="S191" i="4"/>
  <c r="O21" i="6"/>
  <c r="C167" i="6"/>
  <c r="C166" i="6"/>
  <c r="D161" i="6"/>
  <c r="E161" i="6" s="1"/>
  <c r="D158" i="6"/>
  <c r="E158" i="6" s="1"/>
  <c r="D162" i="6"/>
  <c r="E162" i="6" s="1"/>
  <c r="D160" i="6"/>
  <c r="E160" i="6" s="1"/>
  <c r="D159" i="6"/>
  <c r="E159" i="6" s="1"/>
  <c r="D166" i="6"/>
  <c r="E166" i="6" s="1"/>
  <c r="D167" i="6"/>
  <c r="E167" i="6" s="1"/>
  <c r="D163" i="6"/>
  <c r="E163" i="6" s="1"/>
  <c r="D165" i="6"/>
  <c r="E165" i="6" s="1"/>
  <c r="D164" i="6"/>
  <c r="E164" i="6" s="1"/>
  <c r="C165" i="6"/>
  <c r="O22" i="6"/>
  <c r="M22" i="6"/>
  <c r="C164" i="6"/>
  <c r="S206" i="4"/>
  <c r="R206" i="4"/>
  <c r="T206" i="4"/>
  <c r="U206" i="4"/>
  <c r="X205" i="4"/>
  <c r="W206" i="4" s="1"/>
  <c r="V206" i="4"/>
  <c r="X100" i="4"/>
  <c r="L105" i="4"/>
  <c r="C105" i="4"/>
  <c r="G105" i="4"/>
  <c r="K105" i="4"/>
  <c r="O105" i="4"/>
  <c r="S100" i="4"/>
  <c r="U100" i="4"/>
  <c r="H100" i="4"/>
  <c r="Q100" i="4"/>
  <c r="Q105" i="4"/>
  <c r="H4" i="3" l="1"/>
  <c r="O9" i="6"/>
  <c r="K26" i="7" s="1"/>
  <c r="D34" i="6"/>
  <c r="F25" i="7"/>
  <c r="C35" i="6"/>
  <c r="E45" i="7"/>
  <c r="B143" i="6"/>
  <c r="J97" i="7"/>
  <c r="C133" i="6"/>
  <c r="E188" i="6"/>
  <c r="E192" i="6"/>
  <c r="C184" i="6"/>
  <c r="C197" i="6"/>
  <c r="B197" i="6" s="1"/>
  <c r="C198" i="6"/>
  <c r="B189" i="6"/>
  <c r="E127" i="7"/>
  <c r="H69" i="7"/>
  <c r="E8" i="7"/>
  <c r="C148" i="6"/>
  <c r="V165" i="4"/>
  <c r="U166" i="4" s="1"/>
  <c r="J90" i="4"/>
  <c r="W90" i="4"/>
  <c r="D178" i="4"/>
  <c r="F178" i="4" s="1"/>
  <c r="D168" i="4"/>
  <c r="F168" i="4" s="1"/>
  <c r="D158" i="4"/>
  <c r="F158" i="4" s="1"/>
  <c r="D143" i="4"/>
  <c r="F143" i="4" s="1"/>
  <c r="P90" i="4"/>
  <c r="H90" i="4"/>
  <c r="J82" i="4"/>
  <c r="Q85" i="4"/>
  <c r="I85" i="4"/>
  <c r="T234" i="4"/>
  <c r="U234" i="4" s="1"/>
  <c r="V234" i="4" s="1"/>
  <c r="W234" i="4" s="1"/>
  <c r="L100" i="4"/>
  <c r="R105" i="4"/>
  <c r="L4" i="3"/>
  <c r="B79" i="8"/>
  <c r="M194" i="4"/>
  <c r="V100" i="4"/>
  <c r="E105" i="4"/>
  <c r="S105" i="4"/>
  <c r="D279" i="4"/>
  <c r="F279" i="4" s="1"/>
  <c r="U90" i="4"/>
  <c r="E90" i="4"/>
  <c r="G100" i="4"/>
  <c r="P100" i="4"/>
  <c r="T105" i="4"/>
  <c r="B77" i="8"/>
  <c r="D274" i="4"/>
  <c r="F274" i="4" s="1"/>
  <c r="D258" i="4"/>
  <c r="F258" i="4" s="1"/>
  <c r="D218" i="4"/>
  <c r="F218" i="4" s="1"/>
  <c r="M90" i="4"/>
  <c r="C182" i="6"/>
  <c r="R216" i="4"/>
  <c r="M20" i="6"/>
  <c r="B100" i="4"/>
  <c r="J100" i="4"/>
  <c r="C136" i="6"/>
  <c r="C90" i="4"/>
  <c r="S85" i="4"/>
  <c r="K85" i="4"/>
  <c r="D67" i="4"/>
  <c r="F67" i="4" s="1"/>
  <c r="D61" i="4"/>
  <c r="F61" i="4" s="1"/>
  <c r="D46" i="4"/>
  <c r="F46" i="4" s="1"/>
  <c r="D41" i="4"/>
  <c r="F41" i="4" s="1"/>
  <c r="D26" i="4"/>
  <c r="F26" i="4" s="1"/>
  <c r="R100" i="4"/>
  <c r="E185" i="6"/>
  <c r="W116" i="4"/>
  <c r="D113" i="4" s="1"/>
  <c r="F113" i="4" s="1"/>
  <c r="X116" i="4"/>
  <c r="X120" i="4"/>
  <c r="V121" i="4"/>
  <c r="U239" i="4"/>
  <c r="V239" i="4" s="1"/>
  <c r="W239" i="4" s="1"/>
  <c r="X239" i="4" s="1"/>
  <c r="S241" i="4"/>
  <c r="U126" i="4"/>
  <c r="W125" i="4"/>
  <c r="S216" i="4"/>
  <c r="U215" i="4"/>
  <c r="T216" i="4" s="1"/>
  <c r="D309" i="4"/>
  <c r="F309" i="4" s="1"/>
  <c r="D299" i="4"/>
  <c r="F299" i="4" s="1"/>
  <c r="D294" i="4"/>
  <c r="F294" i="4" s="1"/>
  <c r="D208" i="4"/>
  <c r="F208" i="4" s="1"/>
  <c r="B90" i="4"/>
  <c r="W165" i="4"/>
  <c r="U121" i="4"/>
  <c r="U110" i="4"/>
  <c r="J97" i="4"/>
  <c r="F100" i="4"/>
  <c r="N100" i="4"/>
  <c r="T100" i="4"/>
  <c r="V105" i="4"/>
  <c r="T241" i="4"/>
  <c r="C100" i="4"/>
  <c r="W100" i="4"/>
  <c r="H105" i="4"/>
  <c r="U105" i="4"/>
  <c r="D126" i="6"/>
  <c r="W250" i="4"/>
  <c r="X250" i="4" s="1"/>
  <c r="X251" i="4" s="1"/>
  <c r="D289" i="4"/>
  <c r="F289" i="4" s="1"/>
  <c r="X130" i="4"/>
  <c r="W246" i="4"/>
  <c r="D243" i="4" s="1"/>
  <c r="F243" i="4" s="1"/>
  <c r="C85" i="4"/>
  <c r="B199" i="6"/>
  <c r="D100" i="4"/>
  <c r="J102" i="4"/>
  <c r="F105" i="4"/>
  <c r="M105" i="4"/>
  <c r="E186" i="6"/>
  <c r="E187" i="6"/>
  <c r="J24" i="7"/>
  <c r="D304" i="4"/>
  <c r="F304" i="4" s="1"/>
  <c r="U200" i="4"/>
  <c r="S201" i="4"/>
  <c r="T191" i="4"/>
  <c r="V190" i="4"/>
  <c r="T226" i="4"/>
  <c r="V225" i="4"/>
  <c r="X255" i="4"/>
  <c r="V256" i="4"/>
  <c r="X240" i="4"/>
  <c r="W251" i="4"/>
  <c r="U235" i="4"/>
  <c r="K100" i="4"/>
  <c r="M100" i="4"/>
  <c r="O100" i="4"/>
  <c r="D105" i="4"/>
  <c r="W105" i="4"/>
  <c r="I100" i="4"/>
  <c r="X206" i="4"/>
  <c r="D203" i="4" s="1"/>
  <c r="F203" i="4" s="1"/>
  <c r="V215" i="4"/>
  <c r="B2" i="4"/>
  <c r="M24" i="6"/>
  <c r="K24" i="7"/>
  <c r="F94" i="7"/>
  <c r="M23" i="6"/>
  <c r="B57" i="8"/>
  <c r="C57" i="8" s="1"/>
  <c r="C14" i="1"/>
  <c r="H51" i="7" s="1"/>
  <c r="B59" i="8"/>
  <c r="C59" i="8" s="1"/>
  <c r="D178" i="6"/>
  <c r="E178" i="6" s="1"/>
  <c r="C34" i="6"/>
  <c r="E56" i="7" s="1"/>
  <c r="B61" i="8"/>
  <c r="C61" i="8" s="1"/>
  <c r="E40" i="7"/>
  <c r="O23" i="6"/>
  <c r="O24" i="6"/>
  <c r="B53" i="8"/>
  <c r="C53" i="8" s="1"/>
  <c r="B63" i="8"/>
  <c r="C63" i="8" s="1"/>
  <c r="B67" i="8"/>
  <c r="C67" i="8" s="1"/>
  <c r="B62" i="8"/>
  <c r="C62" i="8" s="1"/>
  <c r="B65" i="8"/>
  <c r="C65" i="8" s="1"/>
  <c r="H27" i="6"/>
  <c r="H45" i="7" s="1"/>
  <c r="C15" i="8"/>
  <c r="B66" i="8"/>
  <c r="C66" i="8" s="1"/>
  <c r="B54" i="8"/>
  <c r="C54" i="8" s="1"/>
  <c r="B56" i="8"/>
  <c r="C56" i="8" s="1"/>
  <c r="B60" i="8"/>
  <c r="C60" i="8" s="1"/>
  <c r="O18" i="6"/>
  <c r="B52" i="8"/>
  <c r="C52" i="8" s="1"/>
  <c r="D26" i="7"/>
  <c r="B51" i="8"/>
  <c r="C51" i="8" s="1"/>
  <c r="B58" i="8"/>
  <c r="C58" i="8" s="1"/>
  <c r="B64" i="8"/>
  <c r="C64" i="8" s="1"/>
  <c r="B50" i="8"/>
  <c r="C50" i="8" s="1"/>
  <c r="B55" i="8"/>
  <c r="C55" i="8" s="1"/>
  <c r="T14" i="6"/>
  <c r="C173" i="6"/>
  <c r="C172" i="6"/>
  <c r="C195" i="6"/>
  <c r="A317" i="4" a="1"/>
  <c r="A341" i="4" s="1"/>
  <c r="D148" i="4"/>
  <c r="F148" i="4" s="1"/>
  <c r="H27" i="1"/>
  <c r="H67" i="7"/>
  <c r="H17" i="7"/>
  <c r="B106" i="1"/>
  <c r="E24" i="1"/>
  <c r="B108" i="1"/>
  <c r="H46" i="1"/>
  <c r="B157" i="1"/>
  <c r="B131" i="1"/>
  <c r="G4" i="3"/>
  <c r="C139" i="6"/>
  <c r="C134" i="6"/>
  <c r="C143" i="6"/>
  <c r="C146" i="6"/>
  <c r="AD4" i="3"/>
  <c r="E190" i="6"/>
  <c r="D30" i="1"/>
  <c r="I68" i="7" s="1"/>
  <c r="AE4" i="3"/>
  <c r="T19" i="6"/>
  <c r="C142" i="6"/>
  <c r="C141" i="6"/>
  <c r="C145" i="6"/>
  <c r="I71" i="7"/>
  <c r="B75" i="8"/>
  <c r="C196" i="6"/>
  <c r="B196" i="6" s="1"/>
  <c r="C147" i="6"/>
  <c r="E42" i="7"/>
  <c r="E193" i="6"/>
  <c r="E189" i="6"/>
  <c r="C183" i="6"/>
  <c r="J90" i="7"/>
  <c r="F118" i="7" s="1"/>
  <c r="C132" i="6"/>
  <c r="F27" i="7"/>
  <c r="C137" i="6"/>
  <c r="C135" i="6"/>
  <c r="C138" i="6"/>
  <c r="E33" i="6"/>
  <c r="C144" i="6"/>
  <c r="T17" i="6"/>
  <c r="E14" i="7"/>
  <c r="B201" i="6"/>
  <c r="C201" i="6" s="1"/>
  <c r="B186" i="6"/>
  <c r="B200" i="6"/>
  <c r="C200" i="6" s="1"/>
  <c r="E183" i="6"/>
  <c r="B187" i="6"/>
  <c r="E184" i="6"/>
  <c r="B202" i="6"/>
  <c r="D3" i="4"/>
  <c r="C128" i="6" l="1"/>
  <c r="C129" i="6" s="1"/>
  <c r="U241" i="4"/>
  <c r="S236" i="4"/>
  <c r="D82" i="4"/>
  <c r="F82" i="4" s="1"/>
  <c r="N194" i="4"/>
  <c r="L196" i="4"/>
  <c r="D97" i="4"/>
  <c r="F97" i="4" s="1"/>
  <c r="V241" i="4"/>
  <c r="D87" i="4"/>
  <c r="F87" i="4" s="1"/>
  <c r="V166" i="4"/>
  <c r="X165" i="4"/>
  <c r="V126" i="4"/>
  <c r="X125" i="4"/>
  <c r="V251" i="4"/>
  <c r="D248" i="4" s="1"/>
  <c r="F248" i="4" s="1"/>
  <c r="X131" i="4"/>
  <c r="W131" i="4"/>
  <c r="D128" i="4" s="1"/>
  <c r="V110" i="4"/>
  <c r="T111" i="4"/>
  <c r="D102" i="4"/>
  <c r="F102" i="4" s="1"/>
  <c r="E126" i="6"/>
  <c r="D127" i="6"/>
  <c r="W121" i="4"/>
  <c r="X121" i="4"/>
  <c r="W225" i="4"/>
  <c r="U226" i="4"/>
  <c r="X256" i="4"/>
  <c r="W256" i="4"/>
  <c r="D253" i="4" s="1"/>
  <c r="T201" i="4"/>
  <c r="V200" i="4"/>
  <c r="W215" i="4"/>
  <c r="U216" i="4"/>
  <c r="T236" i="4"/>
  <c r="V235" i="4"/>
  <c r="X241" i="4"/>
  <c r="W241" i="4"/>
  <c r="U191" i="4"/>
  <c r="W190" i="4"/>
  <c r="D157" i="6"/>
  <c r="D137" i="6"/>
  <c r="W4" i="3"/>
  <c r="D139" i="6"/>
  <c r="D133" i="6"/>
  <c r="E133" i="6" s="1"/>
  <c r="D156" i="6"/>
  <c r="D135" i="6"/>
  <c r="E135" i="6" s="1"/>
  <c r="E52" i="7"/>
  <c r="D140" i="6"/>
  <c r="E30" i="6"/>
  <c r="E28" i="6" s="1"/>
  <c r="E34" i="6"/>
  <c r="D138" i="6"/>
  <c r="D145" i="6"/>
  <c r="D148" i="6"/>
  <c r="D143" i="6"/>
  <c r="D141" i="6"/>
  <c r="D134" i="6"/>
  <c r="E134" i="6" s="1"/>
  <c r="O20" i="6"/>
  <c r="I28" i="6" s="1"/>
  <c r="D136" i="6"/>
  <c r="E136" i="6" s="1"/>
  <c r="D147" i="6"/>
  <c r="E57" i="7"/>
  <c r="D142" i="6"/>
  <c r="D155" i="6"/>
  <c r="D132" i="6"/>
  <c r="E132" i="6" s="1"/>
  <c r="C168" i="6"/>
  <c r="C169" i="6" s="1"/>
  <c r="D168" i="6"/>
  <c r="D169" i="6" s="1"/>
  <c r="D144" i="6"/>
  <c r="E53" i="7"/>
  <c r="D146" i="6"/>
  <c r="S27" i="6"/>
  <c r="H12" i="7"/>
  <c r="I16" i="7"/>
  <c r="K49" i="1"/>
  <c r="R27" i="1"/>
  <c r="A323" i="4"/>
  <c r="A330" i="4"/>
  <c r="A331" i="4"/>
  <c r="A343" i="4"/>
  <c r="A339" i="4"/>
  <c r="A327" i="4"/>
  <c r="A338" i="4"/>
  <c r="A320" i="4"/>
  <c r="A332" i="4"/>
  <c r="A337" i="4"/>
  <c r="A340" i="4"/>
  <c r="A318" i="4"/>
  <c r="A333" i="4"/>
  <c r="A328" i="4"/>
  <c r="A342" i="4"/>
  <c r="A325" i="4"/>
  <c r="A336" i="4"/>
  <c r="A317" i="4"/>
  <c r="A346" i="4"/>
  <c r="A322" i="4"/>
  <c r="A329" i="4"/>
  <c r="A321" i="4"/>
  <c r="A326" i="4"/>
  <c r="A345" i="4"/>
  <c r="A319" i="4"/>
  <c r="A324" i="4"/>
  <c r="A335" i="4"/>
  <c r="A344" i="4"/>
  <c r="A334" i="4"/>
  <c r="X4" i="4"/>
  <c r="F4" i="4"/>
  <c r="H4" i="4"/>
  <c r="X3" i="4"/>
  <c r="O4" i="4"/>
  <c r="Y4" i="4"/>
  <c r="G3" i="4"/>
  <c r="T2" i="4"/>
  <c r="T4" i="4"/>
  <c r="M4" i="4"/>
  <c r="F3" i="4"/>
  <c r="N3" i="4"/>
  <c r="D4" i="4"/>
  <c r="P4" i="4"/>
  <c r="X2" i="4"/>
  <c r="R4" i="4"/>
  <c r="I4" i="4"/>
  <c r="N4" i="4"/>
  <c r="E4" i="4"/>
  <c r="P2" i="4"/>
  <c r="B3" i="4"/>
  <c r="V3" i="4"/>
  <c r="J2" i="4"/>
  <c r="V4" i="4"/>
  <c r="K4" i="4"/>
  <c r="H3" i="4"/>
  <c r="L3" i="4"/>
  <c r="Q4" i="4"/>
  <c r="Z2" i="4"/>
  <c r="J3" i="4"/>
  <c r="L4" i="4"/>
  <c r="D2" i="4"/>
  <c r="N2" i="4"/>
  <c r="F2" i="4"/>
  <c r="M3" i="4"/>
  <c r="C3" i="4"/>
  <c r="O3" i="4"/>
  <c r="P3" i="4"/>
  <c r="J4" i="4"/>
  <c r="U3" i="4"/>
  <c r="Y3" i="4"/>
  <c r="W4" i="4"/>
  <c r="I3" i="4"/>
  <c r="W3" i="4"/>
  <c r="T3" i="4"/>
  <c r="E3" i="4"/>
  <c r="H2" i="4"/>
  <c r="U4" i="4"/>
  <c r="C4" i="4"/>
  <c r="S3" i="4"/>
  <c r="R2" i="4"/>
  <c r="V2" i="4"/>
  <c r="R3" i="4"/>
  <c r="G4" i="4"/>
  <c r="L2" i="4"/>
  <c r="K3" i="4"/>
  <c r="B4" i="4"/>
  <c r="S4" i="4"/>
  <c r="Q3" i="4"/>
  <c r="P14" i="6" l="1"/>
  <c r="N14" i="6" s="1"/>
  <c r="C210" i="6"/>
  <c r="C207" i="6"/>
  <c r="C206" i="6"/>
  <c r="C205" i="6"/>
  <c r="C209" i="6"/>
  <c r="C208" i="6"/>
  <c r="N13" i="6"/>
  <c r="N12" i="6"/>
  <c r="A5" i="3"/>
  <c r="B5" i="3" s="1"/>
  <c r="Z5" i="3" s="1"/>
  <c r="O194" i="4"/>
  <c r="M196" i="4"/>
  <c r="D238" i="4"/>
  <c r="F106" i="1"/>
  <c r="F105" i="1"/>
  <c r="F104" i="1"/>
  <c r="H18" i="7"/>
  <c r="F107" i="1"/>
  <c r="F103" i="1"/>
  <c r="E101" i="7"/>
  <c r="C171" i="6"/>
  <c r="C170" i="6"/>
  <c r="E49" i="7"/>
  <c r="E18" i="7"/>
  <c r="T13" i="6"/>
  <c r="T12" i="6"/>
  <c r="C174" i="6"/>
  <c r="M13" i="6"/>
  <c r="D171" i="6"/>
  <c r="B48" i="8"/>
  <c r="C48" i="8" s="1"/>
  <c r="D174" i="6"/>
  <c r="B43" i="8"/>
  <c r="C43" i="8" s="1"/>
  <c r="B49" i="8"/>
  <c r="C49" i="8" s="1"/>
  <c r="B41" i="8"/>
  <c r="C41" i="8" s="1"/>
  <c r="B42" i="8"/>
  <c r="C42" i="8" s="1"/>
  <c r="B44" i="8"/>
  <c r="C44" i="8" s="1"/>
  <c r="D172" i="6"/>
  <c r="D170" i="6"/>
  <c r="D173" i="6"/>
  <c r="B46" i="8"/>
  <c r="C46" i="8" s="1"/>
  <c r="B47" i="8"/>
  <c r="C47" i="8" s="1"/>
  <c r="B45" i="8"/>
  <c r="C45" i="8" s="1"/>
  <c r="M12" i="6"/>
  <c r="W166" i="4"/>
  <c r="D163" i="4" s="1"/>
  <c r="F163" i="4" s="1"/>
  <c r="X166" i="4"/>
  <c r="E127" i="6"/>
  <c r="D128" i="6"/>
  <c r="W110" i="4"/>
  <c r="U111" i="4"/>
  <c r="X126" i="4"/>
  <c r="W126" i="4"/>
  <c r="D123" i="4" s="1"/>
  <c r="D118" i="4"/>
  <c r="F118" i="4" s="1"/>
  <c r="W235" i="4"/>
  <c r="U236" i="4"/>
  <c r="W200" i="4"/>
  <c r="U201" i="4"/>
  <c r="X215" i="4"/>
  <c r="V216" i="4"/>
  <c r="V226" i="4"/>
  <c r="X225" i="4"/>
  <c r="X190" i="4"/>
  <c r="V191" i="4"/>
  <c r="I31" i="6"/>
  <c r="C154" i="6" s="1"/>
  <c r="O19" i="6"/>
  <c r="M19" i="6" s="1"/>
  <c r="H31" i="6" s="1"/>
  <c r="E29" i="6"/>
  <c r="E35" i="6" s="1"/>
  <c r="C191" i="6"/>
  <c r="D153" i="6"/>
  <c r="C192" i="6"/>
  <c r="D64" i="8" l="1"/>
  <c r="E64" i="8" s="1"/>
  <c r="H64" i="8" s="1"/>
  <c r="D41" i="8"/>
  <c r="E41" i="8" s="1"/>
  <c r="G41" i="8" s="1"/>
  <c r="D52" i="8"/>
  <c r="E52" i="8" s="1"/>
  <c r="H52" i="8" s="1"/>
  <c r="D60" i="8"/>
  <c r="F60" i="8" s="1"/>
  <c r="I60" i="8" s="1"/>
  <c r="D48" i="8"/>
  <c r="F48" i="8" s="1"/>
  <c r="I48" i="8" s="1"/>
  <c r="D49" i="8"/>
  <c r="E49" i="8" s="1"/>
  <c r="G49" i="8" s="1"/>
  <c r="D44" i="8"/>
  <c r="F44" i="8" s="1"/>
  <c r="I44" i="8" s="1"/>
  <c r="D51" i="8"/>
  <c r="E51" i="8" s="1"/>
  <c r="G51" i="8" s="1"/>
  <c r="D58" i="8"/>
  <c r="E58" i="8" s="1"/>
  <c r="G58" i="8" s="1"/>
  <c r="D67" i="8"/>
  <c r="F67" i="8" s="1"/>
  <c r="I67" i="8" s="1"/>
  <c r="D47" i="8"/>
  <c r="E47" i="8" s="1"/>
  <c r="G47" i="8" s="1"/>
  <c r="D54" i="8"/>
  <c r="F54" i="8" s="1"/>
  <c r="I54" i="8" s="1"/>
  <c r="D42" i="8"/>
  <c r="E42" i="8" s="1"/>
  <c r="G42" i="8" s="1"/>
  <c r="D59" i="8"/>
  <c r="F59" i="8" s="1"/>
  <c r="I59" i="8" s="1"/>
  <c r="D61" i="8"/>
  <c r="E61" i="8" s="1"/>
  <c r="G61" i="8" s="1"/>
  <c r="D62" i="8"/>
  <c r="E62" i="8" s="1"/>
  <c r="H62" i="8" s="1"/>
  <c r="D66" i="8"/>
  <c r="F66" i="8" s="1"/>
  <c r="I66" i="8" s="1"/>
  <c r="D43" i="8"/>
  <c r="E43" i="8" s="1"/>
  <c r="G43" i="8" s="1"/>
  <c r="D53" i="8"/>
  <c r="F53" i="8" s="1"/>
  <c r="I53" i="8" s="1"/>
  <c r="D45" i="8"/>
  <c r="E45" i="8" s="1"/>
  <c r="G45" i="8" s="1"/>
  <c r="D56" i="8"/>
  <c r="F56" i="8" s="1"/>
  <c r="I56" i="8" s="1"/>
  <c r="D46" i="8"/>
  <c r="F46" i="8" s="1"/>
  <c r="I46" i="8" s="1"/>
  <c r="D65" i="8"/>
  <c r="E65" i="8" s="1"/>
  <c r="H65" i="8" s="1"/>
  <c r="M14" i="6"/>
  <c r="C10" i="1" s="1"/>
  <c r="S4" i="3" s="1"/>
  <c r="T4" i="3" s="1"/>
  <c r="U4" i="3" s="1"/>
  <c r="D50" i="8"/>
  <c r="F50" i="8" s="1"/>
  <c r="I50" i="8" s="1"/>
  <c r="D55" i="8"/>
  <c r="E55" i="8" s="1"/>
  <c r="G55" i="8" s="1"/>
  <c r="D63" i="8"/>
  <c r="E63" i="8" s="1"/>
  <c r="H63" i="8" s="1"/>
  <c r="D57" i="8"/>
  <c r="E57" i="8" s="1"/>
  <c r="H57" i="8" s="1"/>
  <c r="E11" i="7"/>
  <c r="C10" i="8"/>
  <c r="H41" i="7"/>
  <c r="E107" i="7"/>
  <c r="H5" i="7"/>
  <c r="P15" i="6"/>
  <c r="I41" i="7"/>
  <c r="C24" i="1"/>
  <c r="C30" i="1" s="1"/>
  <c r="P27" i="1" s="1"/>
  <c r="C204" i="6"/>
  <c r="AC5" i="3"/>
  <c r="P5" i="3"/>
  <c r="Q5" i="3" s="1"/>
  <c r="R5" i="3" s="1"/>
  <c r="AA5" i="3"/>
  <c r="A6" i="3"/>
  <c r="B6" i="3" s="1"/>
  <c r="AC6" i="3" s="1"/>
  <c r="AD5" i="3"/>
  <c r="E110" i="7"/>
  <c r="N196" i="4"/>
  <c r="P194" i="4"/>
  <c r="V111" i="4"/>
  <c r="X110" i="4"/>
  <c r="E128" i="6"/>
  <c r="D129" i="6"/>
  <c r="X200" i="4"/>
  <c r="V201" i="4"/>
  <c r="W226" i="4"/>
  <c r="X226" i="4"/>
  <c r="X191" i="4"/>
  <c r="W191" i="4"/>
  <c r="W216" i="4"/>
  <c r="D213" i="4" s="1"/>
  <c r="F213" i="4" s="1"/>
  <c r="X216" i="4"/>
  <c r="V236" i="4"/>
  <c r="X235" i="4"/>
  <c r="H28" i="6"/>
  <c r="C190" i="6" s="1"/>
  <c r="C153" i="6"/>
  <c r="C157" i="6"/>
  <c r="C151" i="6"/>
  <c r="C152" i="6"/>
  <c r="F43" i="8" l="1"/>
  <c r="I43" i="8" s="1"/>
  <c r="F58" i="8"/>
  <c r="I58" i="8" s="1"/>
  <c r="F47" i="8"/>
  <c r="I47" i="8" s="1"/>
  <c r="F64" i="8"/>
  <c r="I64" i="8" s="1"/>
  <c r="G64" i="8"/>
  <c r="J64" i="8" s="1"/>
  <c r="H58" i="8"/>
  <c r="K58" i="8" s="1"/>
  <c r="F41" i="8"/>
  <c r="I41" i="8" s="1"/>
  <c r="H41" i="8"/>
  <c r="J41" i="8" s="1"/>
  <c r="H47" i="8"/>
  <c r="J47" i="8" s="1"/>
  <c r="G52" i="8"/>
  <c r="K52" i="8" s="1"/>
  <c r="F52" i="8"/>
  <c r="I52" i="8" s="1"/>
  <c r="E67" i="8"/>
  <c r="H67" i="8" s="1"/>
  <c r="H43" i="8"/>
  <c r="J43" i="8" s="1"/>
  <c r="F45" i="8"/>
  <c r="I45" i="8" s="1"/>
  <c r="F57" i="8"/>
  <c r="I57" i="8" s="1"/>
  <c r="E66" i="8"/>
  <c r="H66" i="8" s="1"/>
  <c r="H45" i="8"/>
  <c r="J45" i="8" s="1"/>
  <c r="H49" i="8"/>
  <c r="J49" i="8" s="1"/>
  <c r="G57" i="8"/>
  <c r="K57" i="8" s="1"/>
  <c r="E56" i="8"/>
  <c r="G56" i="8" s="1"/>
  <c r="E54" i="8"/>
  <c r="H54" i="8" s="1"/>
  <c r="E60" i="8"/>
  <c r="H60" i="8" s="1"/>
  <c r="H42" i="8"/>
  <c r="J42" i="8" s="1"/>
  <c r="H61" i="8"/>
  <c r="K61" i="8" s="1"/>
  <c r="E46" i="8"/>
  <c r="G46" i="8" s="1"/>
  <c r="F49" i="8"/>
  <c r="I49" i="8" s="1"/>
  <c r="E48" i="8"/>
  <c r="G48" i="8" s="1"/>
  <c r="F42" i="8"/>
  <c r="I42" i="8" s="1"/>
  <c r="F61" i="8"/>
  <c r="I61" i="8" s="1"/>
  <c r="F62" i="8"/>
  <c r="I62" i="8" s="1"/>
  <c r="G65" i="8"/>
  <c r="K65" i="8" s="1"/>
  <c r="E44" i="8"/>
  <c r="G44" i="8" s="1"/>
  <c r="F51" i="8"/>
  <c r="I51" i="8" s="1"/>
  <c r="H51" i="8"/>
  <c r="J51" i="8" s="1"/>
  <c r="C11" i="8"/>
  <c r="G62" i="8"/>
  <c r="J62" i="8" s="1"/>
  <c r="E59" i="8"/>
  <c r="G59" i="8" s="1"/>
  <c r="M15" i="6"/>
  <c r="J42" i="7" s="1"/>
  <c r="E53" i="8"/>
  <c r="H53" i="8" s="1"/>
  <c r="F65" i="8"/>
  <c r="I65" i="8" s="1"/>
  <c r="E50" i="8"/>
  <c r="H50" i="8" s="1"/>
  <c r="F107" i="7"/>
  <c r="S5" i="3"/>
  <c r="T5" i="3" s="1"/>
  <c r="E5" i="3" s="1"/>
  <c r="H5" i="3" s="1"/>
  <c r="F55" i="8"/>
  <c r="I55" i="8" s="1"/>
  <c r="J41" i="7"/>
  <c r="F63" i="8"/>
  <c r="I63" i="8" s="1"/>
  <c r="G63" i="8"/>
  <c r="J63" i="8" s="1"/>
  <c r="E58" i="7"/>
  <c r="H65" i="7" s="1"/>
  <c r="H55" i="8"/>
  <c r="K55" i="8" s="1"/>
  <c r="H42" i="7"/>
  <c r="D23" i="7"/>
  <c r="E108" i="7"/>
  <c r="N15" i="6"/>
  <c r="P28" i="1"/>
  <c r="K47" i="1"/>
  <c r="H16" i="7"/>
  <c r="C194" i="6"/>
  <c r="H46" i="7"/>
  <c r="H13" i="7"/>
  <c r="D152" i="6"/>
  <c r="H68" i="7"/>
  <c r="H71" i="7"/>
  <c r="P6" i="3"/>
  <c r="Q6" i="3" s="1"/>
  <c r="R6" i="3" s="1"/>
  <c r="A7" i="3"/>
  <c r="B7" i="3" s="1"/>
  <c r="AD7" i="3" s="1"/>
  <c r="Z6" i="3"/>
  <c r="AA6" i="3"/>
  <c r="Q194" i="4"/>
  <c r="O196" i="4"/>
  <c r="AD6" i="3"/>
  <c r="D223" i="4"/>
  <c r="F223" i="4" s="1"/>
  <c r="X111" i="4"/>
  <c r="W111" i="4"/>
  <c r="D108" i="4" s="1"/>
  <c r="D188" i="4"/>
  <c r="F188" i="4" s="1"/>
  <c r="D130" i="6"/>
  <c r="E130" i="6" s="1"/>
  <c r="E129" i="6"/>
  <c r="S28" i="6"/>
  <c r="C193" i="6"/>
  <c r="X236" i="4"/>
  <c r="W236" i="4"/>
  <c r="W201" i="4"/>
  <c r="X201" i="4"/>
  <c r="M58" i="8" l="1"/>
  <c r="K64" i="8"/>
  <c r="L64" i="8" s="1"/>
  <c r="J58" i="8"/>
  <c r="L58" i="8" s="1"/>
  <c r="K41" i="8"/>
  <c r="M41" i="8" s="1"/>
  <c r="J52" i="8"/>
  <c r="L52" i="8" s="1"/>
  <c r="K47" i="8"/>
  <c r="M47" i="8" s="1"/>
  <c r="M52" i="8"/>
  <c r="G67" i="8"/>
  <c r="J67" i="8" s="1"/>
  <c r="K43" i="8"/>
  <c r="M43" i="8" s="1"/>
  <c r="M57" i="8"/>
  <c r="C155" i="6"/>
  <c r="C156" i="6" s="1"/>
  <c r="H46" i="8"/>
  <c r="J46" i="8" s="1"/>
  <c r="K51" i="8"/>
  <c r="L51" i="8" s="1"/>
  <c r="G66" i="8"/>
  <c r="J66" i="8" s="1"/>
  <c r="K45" i="8"/>
  <c r="M45" i="8" s="1"/>
  <c r="S6" i="3"/>
  <c r="T6" i="3" s="1"/>
  <c r="K49" i="8"/>
  <c r="M49" i="8" s="1"/>
  <c r="J57" i="8"/>
  <c r="L57" i="8" s="1"/>
  <c r="H56" i="8"/>
  <c r="J56" i="8" s="1"/>
  <c r="G60" i="8"/>
  <c r="J60" i="8" s="1"/>
  <c r="C149" i="6"/>
  <c r="H44" i="8"/>
  <c r="J44" i="8" s="1"/>
  <c r="J65" i="8"/>
  <c r="L65" i="8" s="1"/>
  <c r="K62" i="8"/>
  <c r="L62" i="8" s="1"/>
  <c r="G53" i="8"/>
  <c r="K53" i="8" s="1"/>
  <c r="M53" i="8" s="1"/>
  <c r="G54" i="8"/>
  <c r="J54" i="8" s="1"/>
  <c r="M61" i="8"/>
  <c r="K42" i="8"/>
  <c r="M42" i="8" s="1"/>
  <c r="J61" i="8"/>
  <c r="L61" i="8" s="1"/>
  <c r="M65" i="8"/>
  <c r="D5" i="3"/>
  <c r="F5" i="3" s="1"/>
  <c r="G50" i="8"/>
  <c r="J50" i="8" s="1"/>
  <c r="H48" i="8"/>
  <c r="J48" i="8" s="1"/>
  <c r="AH5" i="3"/>
  <c r="AG5" i="3"/>
  <c r="H59" i="8"/>
  <c r="J59" i="8" s="1"/>
  <c r="F108" i="7"/>
  <c r="H32" i="6"/>
  <c r="H29" i="6"/>
  <c r="H47" i="7" s="1"/>
  <c r="B191" i="6"/>
  <c r="M55" i="8"/>
  <c r="K63" i="8"/>
  <c r="M63" i="8" s="1"/>
  <c r="J55" i="8"/>
  <c r="L55" i="8" s="1"/>
  <c r="C150" i="6"/>
  <c r="B193" i="6"/>
  <c r="I32" i="6"/>
  <c r="B192" i="6"/>
  <c r="I42" i="7"/>
  <c r="I29" i="6"/>
  <c r="A8" i="3"/>
  <c r="B8" i="3" s="1"/>
  <c r="AC8" i="3" s="1"/>
  <c r="Z7" i="3"/>
  <c r="P7" i="3"/>
  <c r="Q7" i="3" s="1"/>
  <c r="R7" i="3" s="1"/>
  <c r="AC7" i="3"/>
  <c r="AA7" i="3"/>
  <c r="D198" i="4"/>
  <c r="F198" i="4" s="1"/>
  <c r="R194" i="4"/>
  <c r="P196" i="4"/>
  <c r="F108" i="4"/>
  <c r="D233" i="4"/>
  <c r="F233" i="4" s="1"/>
  <c r="K5" i="3"/>
  <c r="M64" i="8" l="1"/>
  <c r="L41" i="8"/>
  <c r="K46" i="8"/>
  <c r="M46" i="8" s="1"/>
  <c r="L47" i="8"/>
  <c r="K67" i="8"/>
  <c r="M67" i="8" s="1"/>
  <c r="L43" i="8"/>
  <c r="M51" i="8"/>
  <c r="K66" i="8"/>
  <c r="M66" i="8" s="1"/>
  <c r="L45" i="8"/>
  <c r="L49" i="8"/>
  <c r="M62" i="8"/>
  <c r="S7" i="3"/>
  <c r="T7" i="3" s="1"/>
  <c r="H30" i="6"/>
  <c r="H48" i="7" s="1"/>
  <c r="K54" i="8"/>
  <c r="M54" i="8" s="1"/>
  <c r="K56" i="8"/>
  <c r="M56" i="8" s="1"/>
  <c r="K60" i="8"/>
  <c r="M60" i="8" s="1"/>
  <c r="J53" i="8"/>
  <c r="L53" i="8" s="1"/>
  <c r="K50" i="8"/>
  <c r="M50" i="8" s="1"/>
  <c r="K44" i="8"/>
  <c r="M44" i="8" s="1"/>
  <c r="L63" i="8"/>
  <c r="G5" i="3"/>
  <c r="I5" i="3" s="1"/>
  <c r="K48" i="8"/>
  <c r="L48" i="8" s="1"/>
  <c r="S29" i="6"/>
  <c r="L42" i="8"/>
  <c r="K59" i="8"/>
  <c r="M59" i="8" s="1"/>
  <c r="B194" i="6"/>
  <c r="B190" i="6"/>
  <c r="H14" i="7"/>
  <c r="I14" i="7"/>
  <c r="I30" i="6"/>
  <c r="I47" i="7"/>
  <c r="P8" i="3"/>
  <c r="Q8" i="3" s="1"/>
  <c r="R8" i="3" s="1"/>
  <c r="AD8" i="3"/>
  <c r="AA8" i="3"/>
  <c r="Z8" i="3"/>
  <c r="A9" i="3"/>
  <c r="B9" i="3" s="1"/>
  <c r="AD9" i="3" s="1"/>
  <c r="S194" i="4"/>
  <c r="Q196" i="4"/>
  <c r="V5" i="3"/>
  <c r="AE5" i="3"/>
  <c r="L46" i="8" l="1"/>
  <c r="L67" i="8"/>
  <c r="L66" i="8"/>
  <c r="S8" i="3"/>
  <c r="T8" i="3" s="1"/>
  <c r="H15" i="7"/>
  <c r="H33" i="6"/>
  <c r="L54" i="8"/>
  <c r="L56" i="8"/>
  <c r="L60" i="8"/>
  <c r="L50" i="8"/>
  <c r="L59" i="8"/>
  <c r="J5" i="3"/>
  <c r="L5" i="3" s="1"/>
  <c r="M5" i="3"/>
  <c r="N5" i="3" s="1"/>
  <c r="M48" i="8"/>
  <c r="L44" i="8"/>
  <c r="I48" i="7"/>
  <c r="I15" i="7"/>
  <c r="S30" i="6"/>
  <c r="A10" i="3"/>
  <c r="B10" i="3" s="1"/>
  <c r="P10" i="3" s="1"/>
  <c r="Q10" i="3" s="1"/>
  <c r="R10" i="3" s="1"/>
  <c r="AC9" i="3"/>
  <c r="P9" i="3"/>
  <c r="Q9" i="3" s="1"/>
  <c r="R9" i="3" s="1"/>
  <c r="Z9" i="3"/>
  <c r="AA9" i="3"/>
  <c r="T194" i="4"/>
  <c r="R196" i="4"/>
  <c r="W5" i="3"/>
  <c r="S9" i="3" l="1"/>
  <c r="T9" i="3" s="1"/>
  <c r="AA10" i="3"/>
  <c r="AC10" i="3"/>
  <c r="AD10" i="3"/>
  <c r="Z10" i="3"/>
  <c r="A11" i="3"/>
  <c r="B11" i="3" s="1"/>
  <c r="AC11" i="3" s="1"/>
  <c r="U194" i="4"/>
  <c r="S196" i="4"/>
  <c r="U5" i="3"/>
  <c r="D6" i="3" s="1"/>
  <c r="AG6" i="3"/>
  <c r="AH6" i="3"/>
  <c r="S10" i="3" l="1"/>
  <c r="T10" i="3" s="1"/>
  <c r="AA11" i="3"/>
  <c r="P11" i="3"/>
  <c r="Q11" i="3" s="1"/>
  <c r="R11" i="3" s="1"/>
  <c r="S11" i="3" s="1"/>
  <c r="T11" i="3" s="1"/>
  <c r="Z11" i="3"/>
  <c r="A12" i="3"/>
  <c r="B12" i="3" s="1"/>
  <c r="Z12" i="3" s="1"/>
  <c r="AD11" i="3"/>
  <c r="T196" i="4"/>
  <c r="V194" i="4"/>
  <c r="E6" i="3"/>
  <c r="H6" i="3" s="1"/>
  <c r="K6" i="3" s="1"/>
  <c r="G6" i="3"/>
  <c r="AA12" i="3" l="1"/>
  <c r="AC12" i="3"/>
  <c r="A13" i="3"/>
  <c r="B13" i="3" s="1"/>
  <c r="A14" i="3" s="1"/>
  <c r="B14" i="3" s="1"/>
  <c r="A15" i="3" s="1"/>
  <c r="B15" i="3" s="1"/>
  <c r="P12" i="3"/>
  <c r="Q12" i="3" s="1"/>
  <c r="R12" i="3" s="1"/>
  <c r="S12" i="3" s="1"/>
  <c r="T12" i="3" s="1"/>
  <c r="AD12" i="3"/>
  <c r="U196" i="4"/>
  <c r="W194" i="4"/>
  <c r="F6" i="3"/>
  <c r="I6" i="3"/>
  <c r="J6" i="3"/>
  <c r="M6" i="3"/>
  <c r="N6" i="3" s="1"/>
  <c r="V6" i="3"/>
  <c r="AE6" i="3"/>
  <c r="P13" i="3" l="1"/>
  <c r="Q13" i="3" s="1"/>
  <c r="R13" i="3" s="1"/>
  <c r="S13" i="3" s="1"/>
  <c r="T13" i="3" s="1"/>
  <c r="AD13" i="3"/>
  <c r="AA14" i="3"/>
  <c r="AA13" i="3"/>
  <c r="AC14" i="3"/>
  <c r="Z14" i="3"/>
  <c r="Z13" i="3"/>
  <c r="AD14" i="3"/>
  <c r="P14" i="3"/>
  <c r="Q14" i="3" s="1"/>
  <c r="R14" i="3" s="1"/>
  <c r="AC13" i="3"/>
  <c r="V196" i="4"/>
  <c r="D193" i="4" s="1"/>
  <c r="W196" i="4"/>
  <c r="W6" i="3"/>
  <c r="AA15" i="3"/>
  <c r="P15" i="3"/>
  <c r="Q15" i="3" s="1"/>
  <c r="R15" i="3" s="1"/>
  <c r="AC15" i="3"/>
  <c r="Z15" i="3"/>
  <c r="AD15" i="3"/>
  <c r="A16" i="3"/>
  <c r="B16" i="3" s="1"/>
  <c r="L6" i="3"/>
  <c r="S14" i="3" l="1"/>
  <c r="S15" i="3" s="1"/>
  <c r="F193" i="4"/>
  <c r="M36" i="6"/>
  <c r="N34" i="1"/>
  <c r="AA16" i="3"/>
  <c r="AD16" i="3"/>
  <c r="AC16" i="3"/>
  <c r="P16" i="3"/>
  <c r="Q16" i="3" s="1"/>
  <c r="R16" i="3" s="1"/>
  <c r="Z16" i="3"/>
  <c r="A17" i="3"/>
  <c r="B17" i="3" s="1"/>
  <c r="AH7" i="3"/>
  <c r="AG7" i="3"/>
  <c r="U6" i="3"/>
  <c r="D7" i="3" s="1"/>
  <c r="Y5" i="3"/>
  <c r="T14" i="3" l="1"/>
  <c r="G7" i="3"/>
  <c r="P17" i="3"/>
  <c r="Q17" i="3" s="1"/>
  <c r="R17" i="3" s="1"/>
  <c r="A18" i="3"/>
  <c r="B18" i="3" s="1"/>
  <c r="AC17" i="3"/>
  <c r="Z17" i="3"/>
  <c r="AD17" i="3"/>
  <c r="AA17" i="3"/>
  <c r="T15" i="3"/>
  <c r="S16" i="3"/>
  <c r="E7" i="3"/>
  <c r="H7" i="3" s="1"/>
  <c r="AA18" i="3" l="1"/>
  <c r="P18" i="3"/>
  <c r="Q18" i="3" s="1"/>
  <c r="R18" i="3" s="1"/>
  <c r="AC18" i="3"/>
  <c r="A19" i="3"/>
  <c r="B19" i="3" s="1"/>
  <c r="AD18" i="3"/>
  <c r="Z18" i="3"/>
  <c r="F7" i="3"/>
  <c r="T16" i="3"/>
  <c r="S17" i="3"/>
  <c r="I7" i="3"/>
  <c r="J7" i="3"/>
  <c r="M7" i="3"/>
  <c r="N7" i="3" s="1"/>
  <c r="K7" i="3"/>
  <c r="P19" i="3" l="1"/>
  <c r="Q19" i="3" s="1"/>
  <c r="R19" i="3" s="1"/>
  <c r="A20" i="3"/>
  <c r="B20" i="3" s="1"/>
  <c r="Z19" i="3"/>
  <c r="AD19" i="3"/>
  <c r="AA19" i="3"/>
  <c r="AC19" i="3"/>
  <c r="L7" i="3"/>
  <c r="V7" i="3"/>
  <c r="W7" i="3" s="1"/>
  <c r="AE7" i="3"/>
  <c r="T17" i="3"/>
  <c r="S18" i="3"/>
  <c r="AH8" i="3" l="1"/>
  <c r="U7" i="3"/>
  <c r="D8" i="3" s="1"/>
  <c r="AG8" i="3"/>
  <c r="Y6" i="3"/>
  <c r="P20" i="3"/>
  <c r="Q20" i="3" s="1"/>
  <c r="R20" i="3" s="1"/>
  <c r="A21" i="3"/>
  <c r="B21" i="3" s="1"/>
  <c r="AA20" i="3"/>
  <c r="Z20" i="3"/>
  <c r="AD20" i="3"/>
  <c r="AC20" i="3"/>
  <c r="S19" i="3"/>
  <c r="T18" i="3"/>
  <c r="E8" i="3" l="1"/>
  <c r="H8" i="3" s="1"/>
  <c r="K8" i="3" s="1"/>
  <c r="AD21" i="3"/>
  <c r="P21" i="3"/>
  <c r="Q21" i="3" s="1"/>
  <c r="R21" i="3" s="1"/>
  <c r="AC21" i="3"/>
  <c r="AA21" i="3"/>
  <c r="Z21" i="3"/>
  <c r="A22" i="3"/>
  <c r="B22" i="3" s="1"/>
  <c r="G8" i="3"/>
  <c r="S20" i="3"/>
  <c r="T19" i="3"/>
  <c r="F8" i="3" l="1"/>
  <c r="AC22" i="3"/>
  <c r="A23" i="3"/>
  <c r="B23" i="3" s="1"/>
  <c r="AD22" i="3"/>
  <c r="AA22" i="3"/>
  <c r="Z22" i="3"/>
  <c r="P22" i="3"/>
  <c r="Q22" i="3" s="1"/>
  <c r="R22" i="3" s="1"/>
  <c r="I8" i="3"/>
  <c r="J8" i="3"/>
  <c r="M8" i="3"/>
  <c r="N8" i="3" s="1"/>
  <c r="V8" i="3"/>
  <c r="AE8" i="3"/>
  <c r="T20" i="3"/>
  <c r="S21" i="3"/>
  <c r="W8" i="3" l="1"/>
  <c r="A24" i="3"/>
  <c r="B24" i="3" s="1"/>
  <c r="Z23" i="3"/>
  <c r="AA23" i="3"/>
  <c r="AC23" i="3"/>
  <c r="AD23" i="3"/>
  <c r="P23" i="3"/>
  <c r="Q23" i="3" s="1"/>
  <c r="R23" i="3" s="1"/>
  <c r="T21" i="3"/>
  <c r="S22" i="3"/>
  <c r="L8" i="3"/>
  <c r="U8" i="3" l="1"/>
  <c r="D9" i="3" s="1"/>
  <c r="AH9" i="3"/>
  <c r="AG9" i="3"/>
  <c r="Y7" i="3"/>
  <c r="AA24" i="3"/>
  <c r="Z24" i="3"/>
  <c r="AC24" i="3"/>
  <c r="AD24" i="3"/>
  <c r="A25" i="3"/>
  <c r="B25" i="3" s="1"/>
  <c r="P24" i="3"/>
  <c r="Q24" i="3" s="1"/>
  <c r="R24" i="3" s="1"/>
  <c r="T22" i="3"/>
  <c r="S23" i="3"/>
  <c r="E9" i="3" l="1"/>
  <c r="H9" i="3" s="1"/>
  <c r="K9" i="3" s="1"/>
  <c r="P25" i="3"/>
  <c r="Q25" i="3" s="1"/>
  <c r="R25" i="3" s="1"/>
  <c r="Z25" i="3"/>
  <c r="A26" i="3"/>
  <c r="B26" i="3" s="1"/>
  <c r="AC25" i="3"/>
  <c r="AA25" i="3"/>
  <c r="AD25" i="3"/>
  <c r="S24" i="3"/>
  <c r="T23" i="3"/>
  <c r="G9" i="3"/>
  <c r="F9" i="3" l="1"/>
  <c r="AD26" i="3"/>
  <c r="P26" i="3"/>
  <c r="Q26" i="3" s="1"/>
  <c r="R26" i="3" s="1"/>
  <c r="A27" i="3"/>
  <c r="B27" i="3" s="1"/>
  <c r="AA26" i="3"/>
  <c r="Z26" i="3"/>
  <c r="AC26" i="3"/>
  <c r="S25" i="3"/>
  <c r="T24" i="3"/>
  <c r="V9" i="3"/>
  <c r="AE9" i="3"/>
  <c r="I9" i="3"/>
  <c r="J9" i="3"/>
  <c r="M9" i="3"/>
  <c r="N9" i="3" s="1"/>
  <c r="W9" i="3" l="1"/>
  <c r="P27" i="3"/>
  <c r="Q27" i="3" s="1"/>
  <c r="R27" i="3" s="1"/>
  <c r="Z27" i="3"/>
  <c r="AA27" i="3"/>
  <c r="AD27" i="3"/>
  <c r="A28" i="3"/>
  <c r="B28" i="3" s="1"/>
  <c r="AC27" i="3"/>
  <c r="S26" i="3"/>
  <c r="T25" i="3"/>
  <c r="L9" i="3"/>
  <c r="Z28" i="3" l="1"/>
  <c r="P28" i="3"/>
  <c r="Q28" i="3" s="1"/>
  <c r="R28" i="3" s="1"/>
  <c r="A29" i="3"/>
  <c r="B29" i="3" s="1"/>
  <c r="AA28" i="3"/>
  <c r="AC28" i="3"/>
  <c r="AD28" i="3"/>
  <c r="AH10" i="3"/>
  <c r="U9" i="3"/>
  <c r="E10" i="3" s="1"/>
  <c r="H10" i="3" s="1"/>
  <c r="AG10" i="3"/>
  <c r="Y8" i="3"/>
  <c r="T26" i="3"/>
  <c r="S27" i="3"/>
  <c r="K10" i="3" l="1"/>
  <c r="S28" i="3"/>
  <c r="T27" i="3"/>
  <c r="AC29" i="3"/>
  <c r="P29" i="3"/>
  <c r="Q29" i="3" s="1"/>
  <c r="R29" i="3" s="1"/>
  <c r="A30" i="3"/>
  <c r="B30" i="3" s="1"/>
  <c r="AD29" i="3"/>
  <c r="Z29" i="3"/>
  <c r="AA29" i="3"/>
  <c r="D10" i="3"/>
  <c r="Z30" i="3" l="1"/>
  <c r="P30" i="3"/>
  <c r="Q30" i="3" s="1"/>
  <c r="R30" i="3" s="1"/>
  <c r="AC30" i="3"/>
  <c r="AA30" i="3"/>
  <c r="AD30" i="3"/>
  <c r="A31" i="3"/>
  <c r="B31" i="3" s="1"/>
  <c r="F10" i="3"/>
  <c r="G10" i="3"/>
  <c r="V10" i="3"/>
  <c r="AE10" i="3"/>
  <c r="T28" i="3"/>
  <c r="S29" i="3"/>
  <c r="I10" i="3" l="1"/>
  <c r="W10" i="3" s="1"/>
  <c r="J10" i="3"/>
  <c r="M10" i="3"/>
  <c r="N10" i="3" s="1"/>
  <c r="AC31" i="3"/>
  <c r="A32" i="3"/>
  <c r="B32" i="3" s="1"/>
  <c r="Z31" i="3"/>
  <c r="P31" i="3"/>
  <c r="Q31" i="3" s="1"/>
  <c r="R31" i="3" s="1"/>
  <c r="AD31" i="3"/>
  <c r="AA31" i="3"/>
  <c r="S30" i="3"/>
  <c r="T29" i="3"/>
  <c r="A33" i="3" l="1"/>
  <c r="B33" i="3" s="1"/>
  <c r="Z32" i="3"/>
  <c r="P32" i="3"/>
  <c r="Q32" i="3" s="1"/>
  <c r="R32" i="3" s="1"/>
  <c r="AD32" i="3"/>
  <c r="AC32" i="3"/>
  <c r="AA32" i="3"/>
  <c r="L10" i="3"/>
  <c r="T30" i="3"/>
  <c r="S31" i="3"/>
  <c r="P33" i="3" l="1"/>
  <c r="Q33" i="3" s="1"/>
  <c r="R33" i="3" s="1"/>
  <c r="AC33" i="3"/>
  <c r="A34" i="3"/>
  <c r="B34" i="3" s="1"/>
  <c r="AA33" i="3"/>
  <c r="Z33" i="3"/>
  <c r="AD33" i="3"/>
  <c r="AG11" i="3"/>
  <c r="AH11" i="3"/>
  <c r="U10" i="3"/>
  <c r="E11" i="3" s="1"/>
  <c r="H11" i="3" s="1"/>
  <c r="Y9" i="3"/>
  <c r="T31" i="3"/>
  <c r="S32" i="3"/>
  <c r="K11" i="3" l="1"/>
  <c r="T32" i="3"/>
  <c r="S33" i="3"/>
  <c r="Z34" i="3"/>
  <c r="P34" i="3"/>
  <c r="Q34" i="3" s="1"/>
  <c r="R34" i="3" s="1"/>
  <c r="AC34" i="3"/>
  <c r="A35" i="3"/>
  <c r="B35" i="3" s="1"/>
  <c r="AA34" i="3"/>
  <c r="D11" i="3"/>
  <c r="S34" i="3" l="1"/>
  <c r="T33" i="3"/>
  <c r="V11" i="3"/>
  <c r="AE11" i="3"/>
  <c r="A36" i="3"/>
  <c r="B36" i="3" s="1"/>
  <c r="Z35" i="3"/>
  <c r="AD35" i="3"/>
  <c r="AA35" i="3"/>
  <c r="AC35" i="3"/>
  <c r="P35" i="3"/>
  <c r="Q35" i="3" s="1"/>
  <c r="R35" i="3" s="1"/>
  <c r="F11" i="3"/>
  <c r="G11" i="3"/>
  <c r="S35" i="3" l="1"/>
  <c r="T34" i="3"/>
  <c r="AD36" i="3"/>
  <c r="AA36" i="3"/>
  <c r="P36" i="3"/>
  <c r="Q36" i="3" s="1"/>
  <c r="R36" i="3" s="1"/>
  <c r="Z36" i="3"/>
  <c r="A37" i="3"/>
  <c r="B37" i="3" s="1"/>
  <c r="AC36" i="3"/>
  <c r="I11" i="3"/>
  <c r="W11" i="3" s="1"/>
  <c r="J11" i="3"/>
  <c r="M11" i="3"/>
  <c r="N11" i="3" s="1"/>
  <c r="AD37" i="3" l="1"/>
  <c r="Z37" i="3"/>
  <c r="AA37" i="3"/>
  <c r="AC37" i="3"/>
  <c r="P37" i="3"/>
  <c r="Q37" i="3" s="1"/>
  <c r="R37" i="3" s="1"/>
  <c r="A38" i="3"/>
  <c r="B38" i="3" s="1"/>
  <c r="L11" i="3"/>
  <c r="T35" i="3"/>
  <c r="S36" i="3"/>
  <c r="P38" i="3" l="1"/>
  <c r="Q38" i="3" s="1"/>
  <c r="R38" i="3" s="1"/>
  <c r="A39" i="3"/>
  <c r="B39" i="3" s="1"/>
  <c r="AC38" i="3"/>
  <c r="AA38" i="3"/>
  <c r="AD38" i="3"/>
  <c r="Z38" i="3"/>
  <c r="AH12" i="3"/>
  <c r="U11" i="3"/>
  <c r="E12" i="3" s="1"/>
  <c r="H12" i="3" s="1"/>
  <c r="AG12" i="3"/>
  <c r="Y10" i="3"/>
  <c r="T36" i="3"/>
  <c r="S37" i="3"/>
  <c r="D12" i="3" l="1"/>
  <c r="G12" i="3" s="1"/>
  <c r="S38" i="3"/>
  <c r="T37" i="3"/>
  <c r="K12" i="3"/>
  <c r="AC39" i="3"/>
  <c r="P39" i="3"/>
  <c r="Q39" i="3" s="1"/>
  <c r="R39" i="3" s="1"/>
  <c r="AD39" i="3"/>
  <c r="Z39" i="3"/>
  <c r="A40" i="3"/>
  <c r="B40" i="3" s="1"/>
  <c r="AA39" i="3"/>
  <c r="F12" i="3" l="1"/>
  <c r="P40" i="3"/>
  <c r="Q40" i="3" s="1"/>
  <c r="R40" i="3" s="1"/>
  <c r="AA40" i="3"/>
  <c r="A41" i="3"/>
  <c r="B41" i="3" s="1"/>
  <c r="AC40" i="3"/>
  <c r="Z40" i="3"/>
  <c r="AD40" i="3"/>
  <c r="V12" i="3"/>
  <c r="AE12" i="3"/>
  <c r="S39" i="3"/>
  <c r="T38" i="3"/>
  <c r="I12" i="3"/>
  <c r="J12" i="3"/>
  <c r="M12" i="3"/>
  <c r="N12" i="3" s="1"/>
  <c r="W12" i="3" l="1"/>
  <c r="P41" i="3"/>
  <c r="Q41" i="3" s="1"/>
  <c r="R41" i="3" s="1"/>
  <c r="AC41" i="3"/>
  <c r="A42" i="3"/>
  <c r="B42" i="3" s="1"/>
  <c r="AA41" i="3"/>
  <c r="Z41" i="3"/>
  <c r="AD41" i="3"/>
  <c r="L12" i="3"/>
  <c r="T39" i="3"/>
  <c r="S40" i="3"/>
  <c r="AG13" i="3" l="1"/>
  <c r="U12" i="3"/>
  <c r="E13" i="3" s="1"/>
  <c r="H13" i="3" s="1"/>
  <c r="AH13" i="3"/>
  <c r="Y11" i="3"/>
  <c r="P42" i="3"/>
  <c r="Q42" i="3" s="1"/>
  <c r="R42" i="3" s="1"/>
  <c r="Z42" i="3"/>
  <c r="AA42" i="3"/>
  <c r="A43" i="3"/>
  <c r="B43" i="3" s="1"/>
  <c r="AD42" i="3"/>
  <c r="AC42" i="3"/>
  <c r="S41" i="3"/>
  <c r="T40" i="3"/>
  <c r="D13" i="3" l="1"/>
  <c r="F13" i="3" s="1"/>
  <c r="K13" i="3"/>
  <c r="AC43" i="3"/>
  <c r="P43" i="3"/>
  <c r="Q43" i="3" s="1"/>
  <c r="R43" i="3" s="1"/>
  <c r="AD43" i="3"/>
  <c r="Z43" i="3"/>
  <c r="A44" i="3"/>
  <c r="B44" i="3" s="1"/>
  <c r="AA43" i="3"/>
  <c r="T41" i="3"/>
  <c r="S42" i="3"/>
  <c r="G13" i="3" l="1"/>
  <c r="I13" i="3" s="1"/>
  <c r="AA44" i="3"/>
  <c r="P44" i="3"/>
  <c r="Q44" i="3" s="1"/>
  <c r="R44" i="3" s="1"/>
  <c r="AD44" i="3"/>
  <c r="A45" i="3"/>
  <c r="B45" i="3" s="1"/>
  <c r="Z44" i="3"/>
  <c r="AC44" i="3"/>
  <c r="T42" i="3"/>
  <c r="S43" i="3"/>
  <c r="V13" i="3"/>
  <c r="AE13" i="3"/>
  <c r="J13" i="3" l="1"/>
  <c r="L13" i="3" s="1"/>
  <c r="M13" i="3"/>
  <c r="N13" i="3" s="1"/>
  <c r="P45" i="3"/>
  <c r="Q45" i="3" s="1"/>
  <c r="R45" i="3" s="1"/>
  <c r="A46" i="3"/>
  <c r="B46" i="3" s="1"/>
  <c r="AA45" i="3"/>
  <c r="AD45" i="3"/>
  <c r="Z45" i="3"/>
  <c r="AC45" i="3"/>
  <c r="S44" i="3"/>
  <c r="T43" i="3"/>
  <c r="W13" i="3"/>
  <c r="P46" i="3" l="1"/>
  <c r="Q46" i="3" s="1"/>
  <c r="R46" i="3" s="1"/>
  <c r="AA46" i="3"/>
  <c r="AD46" i="3"/>
  <c r="A47" i="3"/>
  <c r="B47" i="3" s="1"/>
  <c r="Z46" i="3"/>
  <c r="AC46" i="3"/>
  <c r="S45" i="3"/>
  <c r="T44" i="3"/>
  <c r="AH14" i="3"/>
  <c r="AG14" i="3"/>
  <c r="U13" i="3"/>
  <c r="D14" i="3" s="1"/>
  <c r="Y12" i="3"/>
  <c r="E14" i="3" l="1"/>
  <c r="H14" i="3" s="1"/>
  <c r="K14" i="3" s="1"/>
  <c r="AD47" i="3"/>
  <c r="AA47" i="3"/>
  <c r="P47" i="3"/>
  <c r="Q47" i="3" s="1"/>
  <c r="R47" i="3" s="1"/>
  <c r="A48" i="3"/>
  <c r="B48" i="3" s="1"/>
  <c r="Z47" i="3"/>
  <c r="AC47" i="3"/>
  <c r="S46" i="3"/>
  <c r="T45" i="3"/>
  <c r="G14" i="3"/>
  <c r="F14" i="3" l="1"/>
  <c r="AC48" i="3"/>
  <c r="Z48" i="3"/>
  <c r="AA48" i="3"/>
  <c r="A49" i="3"/>
  <c r="B49" i="3" s="1"/>
  <c r="AD48" i="3"/>
  <c r="P48" i="3"/>
  <c r="Q48" i="3" s="1"/>
  <c r="R48" i="3" s="1"/>
  <c r="V14" i="3"/>
  <c r="AE14" i="3"/>
  <c r="I14" i="3"/>
  <c r="J14" i="3"/>
  <c r="M14" i="3"/>
  <c r="N14" i="3" s="1"/>
  <c r="S47" i="3"/>
  <c r="T46" i="3"/>
  <c r="T47" i="3" l="1"/>
  <c r="S48" i="3"/>
  <c r="A50" i="3"/>
  <c r="B50" i="3" s="1"/>
  <c r="P49" i="3"/>
  <c r="Q49" i="3" s="1"/>
  <c r="R49" i="3" s="1"/>
  <c r="AC49" i="3"/>
  <c r="AD49" i="3"/>
  <c r="AA49" i="3"/>
  <c r="Z49" i="3"/>
  <c r="W14" i="3"/>
  <c r="L14" i="3"/>
  <c r="U14" i="3" l="1"/>
  <c r="E15" i="3" s="1"/>
  <c r="H15" i="3" s="1"/>
  <c r="AG15" i="3"/>
  <c r="AH15" i="3"/>
  <c r="Y13" i="3"/>
  <c r="Z50" i="3"/>
  <c r="AA50" i="3"/>
  <c r="P50" i="3"/>
  <c r="Q50" i="3" s="1"/>
  <c r="R50" i="3" s="1"/>
  <c r="A51" i="3"/>
  <c r="B51" i="3" s="1"/>
  <c r="AD50" i="3"/>
  <c r="AC50" i="3"/>
  <c r="T48" i="3"/>
  <c r="S49" i="3"/>
  <c r="D15" i="3" l="1"/>
  <c r="F15" i="3" s="1"/>
  <c r="AD51" i="3"/>
  <c r="A52" i="3"/>
  <c r="B52" i="3" s="1"/>
  <c r="P51" i="3"/>
  <c r="Q51" i="3" s="1"/>
  <c r="R51" i="3" s="1"/>
  <c r="AA51" i="3"/>
  <c r="Z51" i="3"/>
  <c r="AC51" i="3"/>
  <c r="K15" i="3"/>
  <c r="S50" i="3"/>
  <c r="T49" i="3"/>
  <c r="G15" i="3" l="1"/>
  <c r="I15" i="3" s="1"/>
  <c r="A53" i="3"/>
  <c r="B53" i="3" s="1"/>
  <c r="AC52" i="3"/>
  <c r="P52" i="3"/>
  <c r="Q52" i="3" s="1"/>
  <c r="R52" i="3" s="1"/>
  <c r="AA52" i="3"/>
  <c r="AD52" i="3"/>
  <c r="Z52" i="3"/>
  <c r="T50" i="3"/>
  <c r="S51" i="3"/>
  <c r="V15" i="3"/>
  <c r="AE15" i="3"/>
  <c r="J15" i="3" l="1"/>
  <c r="L15" i="3" s="1"/>
  <c r="M15" i="3"/>
  <c r="N15" i="3" s="1"/>
  <c r="A54" i="3"/>
  <c r="B54" i="3" s="1"/>
  <c r="AD53" i="3"/>
  <c r="P53" i="3"/>
  <c r="Q53" i="3" s="1"/>
  <c r="R53" i="3" s="1"/>
  <c r="AA53" i="3"/>
  <c r="AC53" i="3"/>
  <c r="Z53" i="3"/>
  <c r="T51" i="3"/>
  <c r="S52" i="3"/>
  <c r="W15" i="3"/>
  <c r="AC54" i="3" l="1"/>
  <c r="P54" i="3"/>
  <c r="Q54" i="3" s="1"/>
  <c r="R54" i="3" s="1"/>
  <c r="A55" i="3"/>
  <c r="B55" i="3" s="1"/>
  <c r="AA54" i="3"/>
  <c r="Z54" i="3"/>
  <c r="AD54" i="3"/>
  <c r="T52" i="3"/>
  <c r="S53" i="3"/>
  <c r="U15" i="3"/>
  <c r="D16" i="3" s="1"/>
  <c r="AG16" i="3"/>
  <c r="AH16" i="3"/>
  <c r="Y14" i="3"/>
  <c r="E16" i="3" l="1"/>
  <c r="H16" i="3" s="1"/>
  <c r="K16" i="3" s="1"/>
  <c r="G16" i="3"/>
  <c r="S54" i="3"/>
  <c r="T53" i="3"/>
  <c r="P55" i="3"/>
  <c r="Q55" i="3" s="1"/>
  <c r="R55" i="3" s="1"/>
  <c r="A56" i="3"/>
  <c r="B56" i="3" s="1"/>
  <c r="AC55" i="3"/>
  <c r="AA55" i="3"/>
  <c r="Z55" i="3"/>
  <c r="AD55" i="3"/>
  <c r="F16" i="3" l="1"/>
  <c r="P56" i="3"/>
  <c r="Q56" i="3" s="1"/>
  <c r="R56" i="3" s="1"/>
  <c r="AA56" i="3"/>
  <c r="A57" i="3"/>
  <c r="B57" i="3" s="1"/>
  <c r="AD56" i="3"/>
  <c r="Z56" i="3"/>
  <c r="AC56" i="3"/>
  <c r="I16" i="3"/>
  <c r="J16" i="3"/>
  <c r="M16" i="3"/>
  <c r="N16" i="3" s="1"/>
  <c r="S55" i="3"/>
  <c r="T54" i="3"/>
  <c r="V16" i="3"/>
  <c r="AE16" i="3"/>
  <c r="S56" i="3" l="1"/>
  <c r="T55" i="3"/>
  <c r="AD57" i="3"/>
  <c r="AA57" i="3"/>
  <c r="A58" i="3"/>
  <c r="B58" i="3" s="1"/>
  <c r="AC57" i="3"/>
  <c r="P57" i="3"/>
  <c r="Q57" i="3" s="1"/>
  <c r="R57" i="3" s="1"/>
  <c r="Z57" i="3"/>
  <c r="L16" i="3"/>
  <c r="W16" i="3"/>
  <c r="Z58" i="3" l="1"/>
  <c r="AD58" i="3"/>
  <c r="AA58" i="3"/>
  <c r="P58" i="3"/>
  <c r="Q58" i="3" s="1"/>
  <c r="R58" i="3" s="1"/>
  <c r="A59" i="3"/>
  <c r="B59" i="3" s="1"/>
  <c r="AC58" i="3"/>
  <c r="S57" i="3"/>
  <c r="T56" i="3"/>
  <c r="U16" i="3"/>
  <c r="D17" i="3" s="1"/>
  <c r="AG17" i="3"/>
  <c r="AH17" i="3"/>
  <c r="Y15" i="3"/>
  <c r="G17" i="3" l="1"/>
  <c r="P59" i="3"/>
  <c r="Q59" i="3" s="1"/>
  <c r="R59" i="3" s="1"/>
  <c r="A60" i="3"/>
  <c r="B60" i="3" s="1"/>
  <c r="AC59" i="3"/>
  <c r="AD59" i="3"/>
  <c r="Z59" i="3"/>
  <c r="AA59" i="3"/>
  <c r="E17" i="3"/>
  <c r="H17" i="3" s="1"/>
  <c r="S58" i="3"/>
  <c r="T57" i="3"/>
  <c r="AC60" i="3" l="1"/>
  <c r="AD60" i="3"/>
  <c r="Z60" i="3"/>
  <c r="P60" i="3"/>
  <c r="Q60" i="3" s="1"/>
  <c r="R60" i="3" s="1"/>
  <c r="A61" i="3"/>
  <c r="B61" i="3" s="1"/>
  <c r="AA60" i="3"/>
  <c r="F17" i="3"/>
  <c r="I17" i="3"/>
  <c r="J17" i="3"/>
  <c r="M17" i="3"/>
  <c r="N17" i="3" s="1"/>
  <c r="K17" i="3"/>
  <c r="S59" i="3"/>
  <c r="T58" i="3"/>
  <c r="A62" i="3" l="1"/>
  <c r="B62" i="3" s="1"/>
  <c r="Z61" i="3"/>
  <c r="AD61" i="3"/>
  <c r="AC61" i="3"/>
  <c r="P61" i="3"/>
  <c r="Q61" i="3" s="1"/>
  <c r="R61" i="3" s="1"/>
  <c r="AA61" i="3"/>
  <c r="T59" i="3"/>
  <c r="S60" i="3"/>
  <c r="V17" i="3"/>
  <c r="W17" i="3" s="1"/>
  <c r="AE17" i="3"/>
  <c r="L17" i="3"/>
  <c r="AD62" i="3" l="1"/>
  <c r="P62" i="3"/>
  <c r="Q62" i="3" s="1"/>
  <c r="R62" i="3" s="1"/>
  <c r="Z62" i="3"/>
  <c r="AA62" i="3"/>
  <c r="AC62" i="3"/>
  <c r="A63" i="3"/>
  <c r="B63" i="3" s="1"/>
  <c r="S61" i="3"/>
  <c r="T60" i="3"/>
  <c r="U17" i="3"/>
  <c r="E18" i="3" s="1"/>
  <c r="H18" i="3" s="1"/>
  <c r="AG18" i="3"/>
  <c r="AH18" i="3"/>
  <c r="Y16" i="3"/>
  <c r="D18" i="3" l="1"/>
  <c r="G18" i="3" s="1"/>
  <c r="K18" i="3"/>
  <c r="AC63" i="3"/>
  <c r="AA63" i="3"/>
  <c r="A64" i="3"/>
  <c r="B64" i="3" s="1"/>
  <c r="AD63" i="3"/>
  <c r="P63" i="3"/>
  <c r="Q63" i="3" s="1"/>
  <c r="R63" i="3" s="1"/>
  <c r="Z63" i="3"/>
  <c r="S62" i="3"/>
  <c r="T61" i="3"/>
  <c r="F18" i="3" l="1"/>
  <c r="I18" i="3"/>
  <c r="J18" i="3"/>
  <c r="M18" i="3"/>
  <c r="N18" i="3" s="1"/>
  <c r="S63" i="3"/>
  <c r="T62" i="3"/>
  <c r="A65" i="3"/>
  <c r="B65" i="3" s="1"/>
  <c r="Z64" i="3"/>
  <c r="AA64" i="3"/>
  <c r="AC64" i="3"/>
  <c r="AD64" i="3"/>
  <c r="P64" i="3"/>
  <c r="Q64" i="3" s="1"/>
  <c r="R64" i="3" s="1"/>
  <c r="V18" i="3"/>
  <c r="AE18" i="3"/>
  <c r="Z65" i="3" l="1"/>
  <c r="AA65" i="3"/>
  <c r="A66" i="3"/>
  <c r="B66" i="3" s="1"/>
  <c r="AC65" i="3"/>
  <c r="P65" i="3"/>
  <c r="Q65" i="3" s="1"/>
  <c r="R65" i="3" s="1"/>
  <c r="AD65" i="3"/>
  <c r="L18" i="3"/>
  <c r="W18" i="3"/>
  <c r="S64" i="3"/>
  <c r="T63" i="3"/>
  <c r="A67" i="3" l="1"/>
  <c r="B67" i="3" s="1"/>
  <c r="P66" i="3"/>
  <c r="Q66" i="3" s="1"/>
  <c r="R66" i="3" s="1"/>
  <c r="AC66" i="3"/>
  <c r="Z66" i="3"/>
  <c r="AD66" i="3"/>
  <c r="AA66" i="3"/>
  <c r="U18" i="3"/>
  <c r="D19" i="3" s="1"/>
  <c r="AH19" i="3"/>
  <c r="AG19" i="3"/>
  <c r="Y17" i="3"/>
  <c r="S65" i="3"/>
  <c r="T64" i="3"/>
  <c r="G19" i="3" l="1"/>
  <c r="E19" i="3"/>
  <c r="H19" i="3" s="1"/>
  <c r="AA67" i="3"/>
  <c r="Z67" i="3"/>
  <c r="AD67" i="3"/>
  <c r="AC67" i="3"/>
  <c r="P67" i="3"/>
  <c r="Q67" i="3" s="1"/>
  <c r="R67" i="3" s="1"/>
  <c r="A68" i="3"/>
  <c r="B68" i="3" s="1"/>
  <c r="S66" i="3"/>
  <c r="T65" i="3"/>
  <c r="F19" i="3" l="1"/>
  <c r="AD68" i="3"/>
  <c r="AC68" i="3"/>
  <c r="Z68" i="3"/>
  <c r="AA68" i="3"/>
  <c r="A69" i="3"/>
  <c r="B69" i="3" s="1"/>
  <c r="P68" i="3"/>
  <c r="Q68" i="3" s="1"/>
  <c r="R68" i="3" s="1"/>
  <c r="I19" i="3"/>
  <c r="J19" i="3"/>
  <c r="M19" i="3"/>
  <c r="N19" i="3" s="1"/>
  <c r="K19" i="3"/>
  <c r="S67" i="3"/>
  <c r="T66" i="3"/>
  <c r="Z69" i="3" l="1"/>
  <c r="AC69" i="3"/>
  <c r="P69" i="3"/>
  <c r="Q69" i="3" s="1"/>
  <c r="R69" i="3" s="1"/>
  <c r="AA69" i="3"/>
  <c r="AD69" i="3"/>
  <c r="A70" i="3"/>
  <c r="B70" i="3" s="1"/>
  <c r="V19" i="3"/>
  <c r="W19" i="3" s="1"/>
  <c r="AE19" i="3"/>
  <c r="L19" i="3"/>
  <c r="T67" i="3"/>
  <c r="S68" i="3"/>
  <c r="AH20" i="3" l="1"/>
  <c r="U19" i="3"/>
  <c r="E20" i="3" s="1"/>
  <c r="H20" i="3" s="1"/>
  <c r="AG20" i="3"/>
  <c r="Y18" i="3"/>
  <c r="A71" i="3"/>
  <c r="B71" i="3" s="1"/>
  <c r="AC70" i="3"/>
  <c r="AA70" i="3"/>
  <c r="AD70" i="3"/>
  <c r="P70" i="3"/>
  <c r="Q70" i="3" s="1"/>
  <c r="R70" i="3" s="1"/>
  <c r="Z70" i="3"/>
  <c r="S69" i="3"/>
  <c r="T68" i="3"/>
  <c r="D20" i="3" l="1"/>
  <c r="G20" i="3" s="1"/>
  <c r="K20" i="3"/>
  <c r="AA71" i="3"/>
  <c r="A72" i="3"/>
  <c r="B72" i="3" s="1"/>
  <c r="AC71" i="3"/>
  <c r="Z71" i="3"/>
  <c r="AD71" i="3"/>
  <c r="P71" i="3"/>
  <c r="Q71" i="3" s="1"/>
  <c r="R71" i="3" s="1"/>
  <c r="T69" i="3"/>
  <c r="S70" i="3"/>
  <c r="F20" i="3" l="1"/>
  <c r="A73" i="3"/>
  <c r="B73" i="3" s="1"/>
  <c r="Z72" i="3"/>
  <c r="P72" i="3"/>
  <c r="Q72" i="3" s="1"/>
  <c r="R72" i="3" s="1"/>
  <c r="AD72" i="3"/>
  <c r="AA72" i="3"/>
  <c r="AC72" i="3"/>
  <c r="T70" i="3"/>
  <c r="S71" i="3"/>
  <c r="V20" i="3"/>
  <c r="AE20" i="3"/>
  <c r="I20" i="3"/>
  <c r="J20" i="3"/>
  <c r="M20" i="3"/>
  <c r="N20" i="3" s="1"/>
  <c r="AC73" i="3" l="1"/>
  <c r="A74" i="3"/>
  <c r="B74" i="3" s="1"/>
  <c r="Z73" i="3"/>
  <c r="AA73" i="3"/>
  <c r="AD73" i="3"/>
  <c r="P73" i="3"/>
  <c r="Q73" i="3" s="1"/>
  <c r="R73" i="3" s="1"/>
  <c r="L20" i="3"/>
  <c r="T71" i="3"/>
  <c r="S72" i="3"/>
  <c r="W20" i="3"/>
  <c r="P74" i="3" l="1"/>
  <c r="Q74" i="3" s="1"/>
  <c r="R74" i="3" s="1"/>
  <c r="AC74" i="3"/>
  <c r="A75" i="3"/>
  <c r="B75" i="3" s="1"/>
  <c r="AA74" i="3"/>
  <c r="Z74" i="3"/>
  <c r="AG21" i="3"/>
  <c r="U20" i="3"/>
  <c r="E21" i="3" s="1"/>
  <c r="H21" i="3" s="1"/>
  <c r="AH21" i="3"/>
  <c r="Y19" i="3"/>
  <c r="S73" i="3"/>
  <c r="T72" i="3"/>
  <c r="D21" i="3" l="1"/>
  <c r="G21" i="3" s="1"/>
  <c r="K21" i="3"/>
  <c r="P75" i="3"/>
  <c r="Q75" i="3" s="1"/>
  <c r="R75" i="3" s="1"/>
  <c r="Z75" i="3"/>
  <c r="A76" i="3"/>
  <c r="B76" i="3" s="1"/>
  <c r="AA75" i="3"/>
  <c r="AC75" i="3"/>
  <c r="AD75" i="3"/>
  <c r="T73" i="3"/>
  <c r="S74" i="3"/>
  <c r="F21" i="3" l="1"/>
  <c r="AC76" i="3"/>
  <c r="Z76" i="3"/>
  <c r="AD76" i="3"/>
  <c r="AA76" i="3"/>
  <c r="A77" i="3"/>
  <c r="B77" i="3" s="1"/>
  <c r="P76" i="3"/>
  <c r="Q76" i="3" s="1"/>
  <c r="R76" i="3" s="1"/>
  <c r="I21" i="3"/>
  <c r="J21" i="3"/>
  <c r="M21" i="3"/>
  <c r="N21" i="3" s="1"/>
  <c r="S75" i="3"/>
  <c r="T74" i="3"/>
  <c r="V21" i="3"/>
  <c r="AE21" i="3"/>
  <c r="W21" i="3" l="1"/>
  <c r="S76" i="3"/>
  <c r="T75" i="3"/>
  <c r="A78" i="3"/>
  <c r="B78" i="3" s="1"/>
  <c r="AA77" i="3"/>
  <c r="Z77" i="3"/>
  <c r="P77" i="3"/>
  <c r="Q77" i="3" s="1"/>
  <c r="R77" i="3" s="1"/>
  <c r="AD77" i="3"/>
  <c r="AC77" i="3"/>
  <c r="L21" i="3"/>
  <c r="S77" i="3" l="1"/>
  <c r="T76" i="3"/>
  <c r="AG22" i="3"/>
  <c r="U21" i="3"/>
  <c r="D22" i="3" s="1"/>
  <c r="AH22" i="3"/>
  <c r="Y20" i="3"/>
  <c r="A79" i="3"/>
  <c r="B79" i="3" s="1"/>
  <c r="AD78" i="3"/>
  <c r="P78" i="3"/>
  <c r="Q78" i="3" s="1"/>
  <c r="R78" i="3" s="1"/>
  <c r="AC78" i="3"/>
  <c r="AA78" i="3"/>
  <c r="Z78" i="3"/>
  <c r="G22" i="3" l="1"/>
  <c r="T77" i="3"/>
  <c r="S78" i="3"/>
  <c r="E22" i="3"/>
  <c r="H22" i="3" s="1"/>
  <c r="P79" i="3"/>
  <c r="Q79" i="3" s="1"/>
  <c r="R79" i="3" s="1"/>
  <c r="A80" i="3"/>
  <c r="B80" i="3" s="1"/>
  <c r="Z79" i="3"/>
  <c r="AC79" i="3"/>
  <c r="AA79" i="3"/>
  <c r="AD79" i="3"/>
  <c r="AA80" i="3" l="1"/>
  <c r="A81" i="3"/>
  <c r="B81" i="3" s="1"/>
  <c r="AD80" i="3"/>
  <c r="AC80" i="3"/>
  <c r="P80" i="3"/>
  <c r="Q80" i="3" s="1"/>
  <c r="R80" i="3" s="1"/>
  <c r="Z80" i="3"/>
  <c r="I22" i="3"/>
  <c r="J22" i="3"/>
  <c r="M22" i="3"/>
  <c r="N22" i="3" s="1"/>
  <c r="K22" i="3"/>
  <c r="T78" i="3"/>
  <c r="S79" i="3"/>
  <c r="F22" i="3"/>
  <c r="L22" i="3" l="1"/>
  <c r="S80" i="3"/>
  <c r="T79" i="3"/>
  <c r="Z81" i="3"/>
  <c r="AC81" i="3"/>
  <c r="A82" i="3"/>
  <c r="B82" i="3" s="1"/>
  <c r="AA81" i="3"/>
  <c r="AD81" i="3"/>
  <c r="P81" i="3"/>
  <c r="Q81" i="3" s="1"/>
  <c r="R81" i="3" s="1"/>
  <c r="V22" i="3"/>
  <c r="W22" i="3" s="1"/>
  <c r="AE22" i="3"/>
  <c r="U22" i="3" l="1"/>
  <c r="E23" i="3" s="1"/>
  <c r="H23" i="3" s="1"/>
  <c r="AH23" i="3"/>
  <c r="AG23" i="3"/>
  <c r="Y21" i="3"/>
  <c r="A83" i="3"/>
  <c r="B83" i="3" s="1"/>
  <c r="P82" i="3"/>
  <c r="Q82" i="3" s="1"/>
  <c r="R82" i="3" s="1"/>
  <c r="AC82" i="3"/>
  <c r="AA82" i="3"/>
  <c r="Z82" i="3"/>
  <c r="AD82" i="3"/>
  <c r="T80" i="3"/>
  <c r="S81" i="3"/>
  <c r="AA83" i="3" l="1"/>
  <c r="AC83" i="3"/>
  <c r="P83" i="3"/>
  <c r="Q83" i="3" s="1"/>
  <c r="R83" i="3" s="1"/>
  <c r="Z83" i="3"/>
  <c r="AD83" i="3"/>
  <c r="A84" i="3"/>
  <c r="B84" i="3" s="1"/>
  <c r="K23" i="3"/>
  <c r="D23" i="3"/>
  <c r="T81" i="3"/>
  <c r="S82" i="3"/>
  <c r="AA84" i="3" l="1"/>
  <c r="Z84" i="3"/>
  <c r="A85" i="3"/>
  <c r="B85" i="3" s="1"/>
  <c r="P84" i="3"/>
  <c r="Q84" i="3" s="1"/>
  <c r="R84" i="3" s="1"/>
  <c r="AD84" i="3"/>
  <c r="AC84" i="3"/>
  <c r="T82" i="3"/>
  <c r="S83" i="3"/>
  <c r="V23" i="3"/>
  <c r="AE23" i="3"/>
  <c r="F23" i="3"/>
  <c r="G23" i="3"/>
  <c r="T83" i="3" l="1"/>
  <c r="S84" i="3"/>
  <c r="A86" i="3"/>
  <c r="B86" i="3" s="1"/>
  <c r="P85" i="3"/>
  <c r="Q85" i="3" s="1"/>
  <c r="R85" i="3" s="1"/>
  <c r="AA85" i="3"/>
  <c r="AC85" i="3"/>
  <c r="Z85" i="3"/>
  <c r="AD85" i="3"/>
  <c r="I23" i="3"/>
  <c r="W23" i="3" s="1"/>
  <c r="J23" i="3"/>
  <c r="M23" i="3"/>
  <c r="N23" i="3" s="1"/>
  <c r="AC86" i="3" l="1"/>
  <c r="Z86" i="3"/>
  <c r="P86" i="3"/>
  <c r="Q86" i="3" s="1"/>
  <c r="R86" i="3" s="1"/>
  <c r="AA86" i="3"/>
  <c r="A87" i="3"/>
  <c r="B87" i="3" s="1"/>
  <c r="AD86" i="3"/>
  <c r="S85" i="3"/>
  <c r="T84" i="3"/>
  <c r="L23" i="3"/>
  <c r="P87" i="3" l="1"/>
  <c r="Q87" i="3" s="1"/>
  <c r="R87" i="3" s="1"/>
  <c r="Z87" i="3"/>
  <c r="A88" i="3"/>
  <c r="B88" i="3" s="1"/>
  <c r="AD87" i="3"/>
  <c r="AC87" i="3"/>
  <c r="AA87" i="3"/>
  <c r="AG24" i="3"/>
  <c r="AH24" i="3"/>
  <c r="U23" i="3"/>
  <c r="E24" i="3" s="1"/>
  <c r="H24" i="3" s="1"/>
  <c r="Y22" i="3"/>
  <c r="T85" i="3"/>
  <c r="S86" i="3"/>
  <c r="D24" i="3" l="1"/>
  <c r="G24" i="3" s="1"/>
  <c r="T86" i="3"/>
  <c r="S87" i="3"/>
  <c r="A89" i="3"/>
  <c r="B89" i="3" s="1"/>
  <c r="P88" i="3"/>
  <c r="Q88" i="3" s="1"/>
  <c r="R88" i="3" s="1"/>
  <c r="AC88" i="3"/>
  <c r="Z88" i="3"/>
  <c r="AA88" i="3"/>
  <c r="AD88" i="3"/>
  <c r="K24" i="3"/>
  <c r="F24" i="3" l="1"/>
  <c r="AD89" i="3"/>
  <c r="AC89" i="3"/>
  <c r="P89" i="3"/>
  <c r="Q89" i="3" s="1"/>
  <c r="R89" i="3" s="1"/>
  <c r="Z89" i="3"/>
  <c r="AA89" i="3"/>
  <c r="A90" i="3"/>
  <c r="B90" i="3" s="1"/>
  <c r="S88" i="3"/>
  <c r="T87" i="3"/>
  <c r="V24" i="3"/>
  <c r="AE24" i="3"/>
  <c r="I24" i="3"/>
  <c r="J24" i="3"/>
  <c r="M24" i="3"/>
  <c r="N24" i="3" s="1"/>
  <c r="T88" i="3" l="1"/>
  <c r="S89" i="3"/>
  <c r="A91" i="3"/>
  <c r="B91" i="3" s="1"/>
  <c r="P90" i="3"/>
  <c r="Q90" i="3" s="1"/>
  <c r="R90" i="3" s="1"/>
  <c r="AC90" i="3"/>
  <c r="Z90" i="3"/>
  <c r="AA90" i="3"/>
  <c r="AD90" i="3"/>
  <c r="L24" i="3"/>
  <c r="W24" i="3"/>
  <c r="S90" i="3" l="1"/>
  <c r="T89" i="3"/>
  <c r="P91" i="3"/>
  <c r="Q91" i="3" s="1"/>
  <c r="R91" i="3" s="1"/>
  <c r="AD91" i="3"/>
  <c r="AA91" i="3"/>
  <c r="A92" i="3"/>
  <c r="B92" i="3" s="1"/>
  <c r="AC91" i="3"/>
  <c r="Z91" i="3"/>
  <c r="AH25" i="3"/>
  <c r="AG25" i="3"/>
  <c r="U24" i="3"/>
  <c r="D25" i="3" s="1"/>
  <c r="Y23" i="3"/>
  <c r="E25" i="3" l="1"/>
  <c r="H25" i="3" s="1"/>
  <c r="K25" i="3" s="1"/>
  <c r="G25" i="3"/>
  <c r="AA92" i="3"/>
  <c r="AD92" i="3"/>
  <c r="AC92" i="3"/>
  <c r="P92" i="3"/>
  <c r="Q92" i="3" s="1"/>
  <c r="R92" i="3" s="1"/>
  <c r="Z92" i="3"/>
  <c r="A93" i="3"/>
  <c r="B93" i="3" s="1"/>
  <c r="S91" i="3"/>
  <c r="T90" i="3"/>
  <c r="F25" i="3" l="1"/>
  <c r="S92" i="3"/>
  <c r="T91" i="3"/>
  <c r="Z93" i="3"/>
  <c r="AA93" i="3"/>
  <c r="P93" i="3"/>
  <c r="Q93" i="3" s="1"/>
  <c r="R93" i="3" s="1"/>
  <c r="A94" i="3"/>
  <c r="B94" i="3" s="1"/>
  <c r="AD93" i="3"/>
  <c r="AC93" i="3"/>
  <c r="I25" i="3"/>
  <c r="J25" i="3"/>
  <c r="M25" i="3"/>
  <c r="N25" i="3" s="1"/>
  <c r="V25" i="3"/>
  <c r="AE25" i="3"/>
  <c r="W25" i="3" l="1"/>
  <c r="AC94" i="3"/>
  <c r="Z94" i="3"/>
  <c r="AA94" i="3"/>
  <c r="AD94" i="3"/>
  <c r="A95" i="3"/>
  <c r="B95" i="3" s="1"/>
  <c r="P94" i="3"/>
  <c r="Q94" i="3" s="1"/>
  <c r="R94" i="3" s="1"/>
  <c r="L25" i="3"/>
  <c r="T92" i="3"/>
  <c r="S93" i="3"/>
  <c r="U25" i="3" l="1"/>
  <c r="E26" i="3" s="1"/>
  <c r="H26" i="3" s="1"/>
  <c r="AH26" i="3"/>
  <c r="AG26" i="3"/>
  <c r="Y24" i="3"/>
  <c r="Z95" i="3"/>
  <c r="A96" i="3"/>
  <c r="B96" i="3" s="1"/>
  <c r="P95" i="3"/>
  <c r="Q95" i="3" s="1"/>
  <c r="R95" i="3" s="1"/>
  <c r="AC95" i="3"/>
  <c r="AD95" i="3"/>
  <c r="AA95" i="3"/>
  <c r="S94" i="3"/>
  <c r="T93" i="3"/>
  <c r="D26" i="3" l="1"/>
  <c r="G26" i="3" s="1"/>
  <c r="K26" i="3"/>
  <c r="Z96" i="3"/>
  <c r="P96" i="3"/>
  <c r="Q96" i="3" s="1"/>
  <c r="R96" i="3" s="1"/>
  <c r="AC96" i="3"/>
  <c r="AA96" i="3"/>
  <c r="AD96" i="3"/>
  <c r="A97" i="3"/>
  <c r="B97" i="3" s="1"/>
  <c r="T94" i="3"/>
  <c r="S95" i="3"/>
  <c r="F26" i="3" l="1"/>
  <c r="I26" i="3"/>
  <c r="J26" i="3"/>
  <c r="M26" i="3"/>
  <c r="N26" i="3" s="1"/>
  <c r="S96" i="3"/>
  <c r="T95" i="3"/>
  <c r="A98" i="3"/>
  <c r="B98" i="3" s="1"/>
  <c r="P97" i="3"/>
  <c r="Q97" i="3" s="1"/>
  <c r="R97" i="3" s="1"/>
  <c r="AD97" i="3"/>
  <c r="AA97" i="3"/>
  <c r="Z97" i="3"/>
  <c r="AC97" i="3"/>
  <c r="V26" i="3"/>
  <c r="AE26" i="3"/>
  <c r="W26" i="3" l="1"/>
  <c r="A99" i="3"/>
  <c r="B99" i="3" s="1"/>
  <c r="AD98" i="3"/>
  <c r="AA98" i="3"/>
  <c r="P98" i="3"/>
  <c r="Q98" i="3" s="1"/>
  <c r="R98" i="3" s="1"/>
  <c r="Z98" i="3"/>
  <c r="AC98" i="3"/>
  <c r="S97" i="3"/>
  <c r="T96" i="3"/>
  <c r="L26" i="3"/>
  <c r="AD99" i="3" l="1"/>
  <c r="P99" i="3"/>
  <c r="Q99" i="3" s="1"/>
  <c r="R99" i="3" s="1"/>
  <c r="Z99" i="3"/>
  <c r="A100" i="3"/>
  <c r="B100" i="3" s="1"/>
  <c r="AC99" i="3"/>
  <c r="AA99" i="3"/>
  <c r="T97" i="3"/>
  <c r="S98" i="3"/>
  <c r="AH27" i="3"/>
  <c r="U26" i="3"/>
  <c r="D27" i="3" s="1"/>
  <c r="AG27" i="3"/>
  <c r="Y25" i="3"/>
  <c r="E27" i="3" l="1"/>
  <c r="H27" i="3" s="1"/>
  <c r="K27" i="3" s="1"/>
  <c r="G27" i="3"/>
  <c r="A101" i="3"/>
  <c r="B101" i="3" s="1"/>
  <c r="AA100" i="3"/>
  <c r="AC100" i="3"/>
  <c r="Z100" i="3"/>
  <c r="AD100" i="3"/>
  <c r="P100" i="3"/>
  <c r="Q100" i="3" s="1"/>
  <c r="R100" i="3" s="1"/>
  <c r="T98" i="3"/>
  <c r="S99" i="3"/>
  <c r="F27" i="3" l="1"/>
  <c r="AD101" i="3"/>
  <c r="Z101" i="3"/>
  <c r="P101" i="3"/>
  <c r="Q101" i="3" s="1"/>
  <c r="R101" i="3" s="1"/>
  <c r="AC101" i="3"/>
  <c r="A102" i="3"/>
  <c r="B102" i="3" s="1"/>
  <c r="AA101" i="3"/>
  <c r="I27" i="3"/>
  <c r="J27" i="3"/>
  <c r="M27" i="3"/>
  <c r="N27" i="3" s="1"/>
  <c r="V27" i="3"/>
  <c r="AE27" i="3"/>
  <c r="T99" i="3"/>
  <c r="S100" i="3"/>
  <c r="P102" i="3" l="1"/>
  <c r="Q102" i="3" s="1"/>
  <c r="R102" i="3" s="1"/>
  <c r="A103" i="3"/>
  <c r="B103" i="3" s="1"/>
  <c r="AA102" i="3"/>
  <c r="AC102" i="3"/>
  <c r="AD102" i="3"/>
  <c r="Z102" i="3"/>
  <c r="T100" i="3"/>
  <c r="S101" i="3"/>
  <c r="L27" i="3"/>
  <c r="W27" i="3"/>
  <c r="P103" i="3" l="1"/>
  <c r="Q103" i="3" s="1"/>
  <c r="R103" i="3" s="1"/>
  <c r="AD103" i="3"/>
  <c r="AC103" i="3"/>
  <c r="Z103" i="3"/>
  <c r="A104" i="3"/>
  <c r="B104" i="3" s="1"/>
  <c r="AA103" i="3"/>
  <c r="U27" i="3"/>
  <c r="E28" i="3" s="1"/>
  <c r="H28" i="3" s="1"/>
  <c r="AG28" i="3"/>
  <c r="AH28" i="3"/>
  <c r="Y26" i="3"/>
  <c r="S102" i="3"/>
  <c r="T101" i="3"/>
  <c r="D28" i="3" l="1"/>
  <c r="F28" i="3" s="1"/>
  <c r="K28" i="3"/>
  <c r="A105" i="3"/>
  <c r="B105" i="3" s="1"/>
  <c r="AC104" i="3"/>
  <c r="P104" i="3"/>
  <c r="Q104" i="3" s="1"/>
  <c r="R104" i="3" s="1"/>
  <c r="Z104" i="3"/>
  <c r="AA104" i="3"/>
  <c r="T102" i="3"/>
  <c r="S103" i="3"/>
  <c r="G28" i="3" l="1"/>
  <c r="I28" i="3" s="1"/>
  <c r="A106" i="3"/>
  <c r="B106" i="3" s="1"/>
  <c r="AA105" i="3"/>
  <c r="Z105" i="3"/>
  <c r="P105" i="3"/>
  <c r="Q105" i="3" s="1"/>
  <c r="R105" i="3" s="1"/>
  <c r="AC105" i="3"/>
  <c r="AD105" i="3"/>
  <c r="S104" i="3"/>
  <c r="T103" i="3"/>
  <c r="V28" i="3"/>
  <c r="AE28" i="3"/>
  <c r="M28" i="3" l="1"/>
  <c r="N28" i="3" s="1"/>
  <c r="J28" i="3"/>
  <c r="L28" i="3" s="1"/>
  <c r="W28" i="3"/>
  <c r="P106" i="3"/>
  <c r="Q106" i="3" s="1"/>
  <c r="R106" i="3" s="1"/>
  <c r="Z106" i="3"/>
  <c r="A107" i="3"/>
  <c r="B107" i="3" s="1"/>
  <c r="AD106" i="3"/>
  <c r="AC106" i="3"/>
  <c r="AA106" i="3"/>
  <c r="S105" i="3"/>
  <c r="T104" i="3"/>
  <c r="S106" i="3" l="1"/>
  <c r="T105" i="3"/>
  <c r="Z107" i="3"/>
  <c r="AA107" i="3"/>
  <c r="AC107" i="3"/>
  <c r="AD107" i="3"/>
  <c r="P107" i="3"/>
  <c r="Q107" i="3" s="1"/>
  <c r="R107" i="3" s="1"/>
  <c r="A108" i="3"/>
  <c r="B108" i="3" s="1"/>
  <c r="AH29" i="3"/>
  <c r="AG29" i="3"/>
  <c r="U28" i="3"/>
  <c r="E29" i="3" s="1"/>
  <c r="H29" i="3" s="1"/>
  <c r="Y27" i="3"/>
  <c r="D29" i="3" l="1"/>
  <c r="F29" i="3" s="1"/>
  <c r="Z108" i="3"/>
  <c r="AA108" i="3"/>
  <c r="A109" i="3"/>
  <c r="B109" i="3" s="1"/>
  <c r="AC108" i="3"/>
  <c r="P108" i="3"/>
  <c r="Q108" i="3" s="1"/>
  <c r="R108" i="3" s="1"/>
  <c r="AD108" i="3"/>
  <c r="S107" i="3"/>
  <c r="T106" i="3"/>
  <c r="K29" i="3"/>
  <c r="G29" i="3" l="1"/>
  <c r="M29" i="3" s="1"/>
  <c r="N29" i="3" s="1"/>
  <c r="A110" i="3"/>
  <c r="B110" i="3" s="1"/>
  <c r="AD109" i="3"/>
  <c r="P109" i="3"/>
  <c r="Q109" i="3" s="1"/>
  <c r="R109" i="3" s="1"/>
  <c r="AA109" i="3"/>
  <c r="Z109" i="3"/>
  <c r="AC109" i="3"/>
  <c r="V29" i="3"/>
  <c r="AE29" i="3"/>
  <c r="T107" i="3"/>
  <c r="S108" i="3"/>
  <c r="J29" i="3" l="1"/>
  <c r="L29" i="3" s="1"/>
  <c r="I29" i="3"/>
  <c r="W29" i="3" s="1"/>
  <c r="AA110" i="3"/>
  <c r="A111" i="3"/>
  <c r="B111" i="3" s="1"/>
  <c r="AD110" i="3"/>
  <c r="Z110" i="3"/>
  <c r="P110" i="3"/>
  <c r="Q110" i="3" s="1"/>
  <c r="R110" i="3" s="1"/>
  <c r="AC110" i="3"/>
  <c r="S109" i="3"/>
  <c r="T108" i="3"/>
  <c r="A112" i="3" l="1"/>
  <c r="B112" i="3" s="1"/>
  <c r="AA111" i="3"/>
  <c r="AC111" i="3"/>
  <c r="P111" i="3"/>
  <c r="Q111" i="3" s="1"/>
  <c r="R111" i="3" s="1"/>
  <c r="AD111" i="3"/>
  <c r="Z111" i="3"/>
  <c r="U29" i="3"/>
  <c r="D30" i="3" s="1"/>
  <c r="AG30" i="3"/>
  <c r="AH30" i="3"/>
  <c r="Y28" i="3"/>
  <c r="S110" i="3"/>
  <c r="T109" i="3"/>
  <c r="E30" i="3" l="1"/>
  <c r="H30" i="3" s="1"/>
  <c r="K30" i="3" s="1"/>
  <c r="AD112" i="3"/>
  <c r="P112" i="3"/>
  <c r="Q112" i="3" s="1"/>
  <c r="R112" i="3" s="1"/>
  <c r="AA112" i="3"/>
  <c r="Z112" i="3"/>
  <c r="A113" i="3"/>
  <c r="B113" i="3" s="1"/>
  <c r="AC112" i="3"/>
  <c r="G30" i="3"/>
  <c r="T110" i="3"/>
  <c r="S111" i="3"/>
  <c r="F30" i="3" l="1"/>
  <c r="AC113" i="3"/>
  <c r="AA113" i="3"/>
  <c r="A114" i="3"/>
  <c r="B114" i="3" s="1"/>
  <c r="Z113" i="3"/>
  <c r="P113" i="3"/>
  <c r="Q113" i="3" s="1"/>
  <c r="R113" i="3" s="1"/>
  <c r="AD113" i="3"/>
  <c r="S112" i="3"/>
  <c r="T111" i="3"/>
  <c r="I30" i="3"/>
  <c r="J30" i="3"/>
  <c r="M30" i="3"/>
  <c r="N30" i="3" s="1"/>
  <c r="V30" i="3"/>
  <c r="AE30" i="3"/>
  <c r="W30" i="3" l="1"/>
  <c r="P114" i="3"/>
  <c r="Q114" i="3" s="1"/>
  <c r="R114" i="3" s="1"/>
  <c r="AD114" i="3"/>
  <c r="Z114" i="3"/>
  <c r="AC114" i="3"/>
  <c r="AA114" i="3"/>
  <c r="A115" i="3"/>
  <c r="B115" i="3" s="1"/>
  <c r="S113" i="3"/>
  <c r="T112" i="3"/>
  <c r="L30" i="3"/>
  <c r="AA115" i="3" l="1"/>
  <c r="A116" i="3"/>
  <c r="B116" i="3" s="1"/>
  <c r="Z115" i="3"/>
  <c r="AD115" i="3"/>
  <c r="P115" i="3"/>
  <c r="Q115" i="3" s="1"/>
  <c r="R115" i="3" s="1"/>
  <c r="AC115" i="3"/>
  <c r="T113" i="3"/>
  <c r="S114" i="3"/>
  <c r="U30" i="3"/>
  <c r="D31" i="3" s="1"/>
  <c r="AG31" i="3"/>
  <c r="AH31" i="3"/>
  <c r="Y29" i="3"/>
  <c r="E31" i="3" l="1"/>
  <c r="H31" i="3" s="1"/>
  <c r="K31" i="3" s="1"/>
  <c r="AD116" i="3"/>
  <c r="P116" i="3"/>
  <c r="Q116" i="3" s="1"/>
  <c r="R116" i="3" s="1"/>
  <c r="AA116" i="3"/>
  <c r="A117" i="3"/>
  <c r="B117" i="3" s="1"/>
  <c r="AC116" i="3"/>
  <c r="Z116" i="3"/>
  <c r="S115" i="3"/>
  <c r="T114" i="3"/>
  <c r="G31" i="3"/>
  <c r="F31" i="3" l="1"/>
  <c r="A118" i="3"/>
  <c r="B118" i="3" s="1"/>
  <c r="Z117" i="3"/>
  <c r="P117" i="3"/>
  <c r="Q117" i="3" s="1"/>
  <c r="R117" i="3" s="1"/>
  <c r="AC117" i="3"/>
  <c r="AD117" i="3"/>
  <c r="AA117" i="3"/>
  <c r="S116" i="3"/>
  <c r="T115" i="3"/>
  <c r="V31" i="3"/>
  <c r="AE31" i="3"/>
  <c r="I31" i="3"/>
  <c r="J31" i="3"/>
  <c r="M31" i="3"/>
  <c r="N31" i="3" s="1"/>
  <c r="P118" i="3" l="1"/>
  <c r="Q118" i="3" s="1"/>
  <c r="R118" i="3" s="1"/>
  <c r="Z118" i="3"/>
  <c r="AA118" i="3"/>
  <c r="AC118" i="3"/>
  <c r="A119" i="3"/>
  <c r="B119" i="3" s="1"/>
  <c r="AD118" i="3"/>
  <c r="L31" i="3"/>
  <c r="S117" i="3"/>
  <c r="T116" i="3"/>
  <c r="W31" i="3"/>
  <c r="S118" i="3" l="1"/>
  <c r="T117" i="3"/>
  <c r="AG32" i="3"/>
  <c r="AH32" i="3"/>
  <c r="U31" i="3"/>
  <c r="E32" i="3" s="1"/>
  <c r="H32" i="3" s="1"/>
  <c r="Y30" i="3"/>
  <c r="AD119" i="3"/>
  <c r="Z119" i="3"/>
  <c r="AC119" i="3"/>
  <c r="P119" i="3"/>
  <c r="Q119" i="3" s="1"/>
  <c r="R119" i="3" s="1"/>
  <c r="AA119" i="3"/>
  <c r="A120" i="3"/>
  <c r="B120" i="3" s="1"/>
  <c r="D32" i="3" l="1"/>
  <c r="F32" i="3" s="1"/>
  <c r="K32" i="3"/>
  <c r="T118" i="3"/>
  <c r="S119" i="3"/>
  <c r="P120" i="3"/>
  <c r="Q120" i="3" s="1"/>
  <c r="R120" i="3" s="1"/>
  <c r="Z120" i="3"/>
  <c r="AA120" i="3"/>
  <c r="AD120" i="3"/>
  <c r="A121" i="3"/>
  <c r="B121" i="3" s="1"/>
  <c r="AC120" i="3"/>
  <c r="G32" i="3" l="1"/>
  <c r="I32" i="3" s="1"/>
  <c r="A122" i="3"/>
  <c r="B122" i="3" s="1"/>
  <c r="P121" i="3"/>
  <c r="Q121" i="3" s="1"/>
  <c r="R121" i="3" s="1"/>
  <c r="AC121" i="3"/>
  <c r="AD121" i="3"/>
  <c r="AA121" i="3"/>
  <c r="Z121" i="3"/>
  <c r="V32" i="3"/>
  <c r="AE32" i="3"/>
  <c r="T119" i="3"/>
  <c r="S120" i="3"/>
  <c r="M32" i="3" l="1"/>
  <c r="N32" i="3" s="1"/>
  <c r="J32" i="3"/>
  <c r="L32" i="3" s="1"/>
  <c r="W32" i="3"/>
  <c r="AD122" i="3"/>
  <c r="A123" i="3"/>
  <c r="B123" i="3" s="1"/>
  <c r="Z122" i="3"/>
  <c r="AA122" i="3"/>
  <c r="P122" i="3"/>
  <c r="Q122" i="3" s="1"/>
  <c r="R122" i="3" s="1"/>
  <c r="AC122" i="3"/>
  <c r="S121" i="3"/>
  <c r="T120" i="3"/>
  <c r="T121" i="3" l="1"/>
  <c r="S122" i="3"/>
  <c r="AA123" i="3"/>
  <c r="P123" i="3"/>
  <c r="Q123" i="3" s="1"/>
  <c r="R123" i="3" s="1"/>
  <c r="A124" i="3"/>
  <c r="B124" i="3" s="1"/>
  <c r="Z123" i="3"/>
  <c r="AC123" i="3"/>
  <c r="AD123" i="3"/>
  <c r="AH33" i="3"/>
  <c r="AG33" i="3"/>
  <c r="U32" i="3"/>
  <c r="D33" i="3" s="1"/>
  <c r="Y31" i="3"/>
  <c r="E33" i="3" l="1"/>
  <c r="H33" i="3" s="1"/>
  <c r="K33" i="3" s="1"/>
  <c r="A125" i="3"/>
  <c r="B125" i="3" s="1"/>
  <c r="P124" i="3"/>
  <c r="Q124" i="3" s="1"/>
  <c r="R124" i="3" s="1"/>
  <c r="AC124" i="3"/>
  <c r="AA124" i="3"/>
  <c r="Z124" i="3"/>
  <c r="AD124" i="3"/>
  <c r="T122" i="3"/>
  <c r="S123" i="3"/>
  <c r="G33" i="3"/>
  <c r="F33" i="3" l="1"/>
  <c r="P125" i="3"/>
  <c r="Q125" i="3" s="1"/>
  <c r="R125" i="3" s="1"/>
  <c r="Z125" i="3"/>
  <c r="AC125" i="3"/>
  <c r="AD125" i="3"/>
  <c r="AA125" i="3"/>
  <c r="A126" i="3"/>
  <c r="B126" i="3" s="1"/>
  <c r="S124" i="3"/>
  <c r="T123" i="3"/>
  <c r="I33" i="3"/>
  <c r="J33" i="3"/>
  <c r="M33" i="3"/>
  <c r="N33" i="3" s="1"/>
  <c r="V33" i="3"/>
  <c r="AE33" i="3"/>
  <c r="W33" i="3" l="1"/>
  <c r="AA126" i="3"/>
  <c r="P126" i="3"/>
  <c r="Q126" i="3" s="1"/>
  <c r="R126" i="3" s="1"/>
  <c r="Z126" i="3"/>
  <c r="AC126" i="3"/>
  <c r="A127" i="3"/>
  <c r="B127" i="3" s="1"/>
  <c r="AD126" i="3"/>
  <c r="L33" i="3"/>
  <c r="S125" i="3"/>
  <c r="T124" i="3"/>
  <c r="Z127" i="3" l="1"/>
  <c r="AC127" i="3"/>
  <c r="P127" i="3"/>
  <c r="Q127" i="3" s="1"/>
  <c r="R127" i="3" s="1"/>
  <c r="AD127" i="3"/>
  <c r="A128" i="3"/>
  <c r="B128" i="3" s="1"/>
  <c r="AA127" i="3"/>
  <c r="AH34" i="3"/>
  <c r="AG34" i="3"/>
  <c r="U33" i="3"/>
  <c r="D34" i="3" s="1"/>
  <c r="Y32" i="3"/>
  <c r="S126" i="3"/>
  <c r="T125" i="3"/>
  <c r="G34" i="3" l="1"/>
  <c r="P128" i="3"/>
  <c r="Q128" i="3" s="1"/>
  <c r="R128" i="3" s="1"/>
  <c r="Z128" i="3"/>
  <c r="AC128" i="3"/>
  <c r="AA128" i="3"/>
  <c r="A129" i="3"/>
  <c r="B129" i="3" s="1"/>
  <c r="AD128" i="3"/>
  <c r="E34" i="3"/>
  <c r="H34" i="3" s="1"/>
  <c r="S127" i="3"/>
  <c r="T126" i="3"/>
  <c r="F34" i="3" l="1"/>
  <c r="I34" i="3"/>
  <c r="J34" i="3"/>
  <c r="AD34" i="3" s="1"/>
  <c r="M34" i="3"/>
  <c r="N34" i="3" s="1"/>
  <c r="K34" i="3"/>
  <c r="P129" i="3"/>
  <c r="Q129" i="3" s="1"/>
  <c r="R129" i="3" s="1"/>
  <c r="AC129" i="3"/>
  <c r="Z129" i="3"/>
  <c r="A130" i="3"/>
  <c r="B130" i="3" s="1"/>
  <c r="AD129" i="3"/>
  <c r="AA129" i="3"/>
  <c r="S128" i="3"/>
  <c r="T127" i="3"/>
  <c r="A131" i="3" l="1"/>
  <c r="B131" i="3" s="1"/>
  <c r="AD130" i="3"/>
  <c r="P130" i="3"/>
  <c r="Q130" i="3" s="1"/>
  <c r="R130" i="3" s="1"/>
  <c r="AC130" i="3"/>
  <c r="AA130" i="3"/>
  <c r="Z130" i="3"/>
  <c r="S129" i="3"/>
  <c r="T128" i="3"/>
  <c r="V34" i="3"/>
  <c r="W34" i="3" s="1"/>
  <c r="AE34" i="3"/>
  <c r="L34" i="3"/>
  <c r="T129" i="3" l="1"/>
  <c r="S130" i="3"/>
  <c r="AC131" i="3"/>
  <c r="AD131" i="3"/>
  <c r="A132" i="3"/>
  <c r="B132" i="3" s="1"/>
  <c r="Z131" i="3"/>
  <c r="P131" i="3"/>
  <c r="Q131" i="3" s="1"/>
  <c r="R131" i="3" s="1"/>
  <c r="AA131" i="3"/>
  <c r="U34" i="3"/>
  <c r="E35" i="3" s="1"/>
  <c r="H35" i="3" s="1"/>
  <c r="AH35" i="3"/>
  <c r="AG35" i="3"/>
  <c r="Y33" i="3"/>
  <c r="D35" i="3" l="1"/>
  <c r="G35" i="3" s="1"/>
  <c r="AD132" i="3"/>
  <c r="P132" i="3"/>
  <c r="Q132" i="3" s="1"/>
  <c r="R132" i="3" s="1"/>
  <c r="Z132" i="3"/>
  <c r="A133" i="3"/>
  <c r="B133" i="3" s="1"/>
  <c r="AC132" i="3"/>
  <c r="AA132" i="3"/>
  <c r="T130" i="3"/>
  <c r="S131" i="3"/>
  <c r="K35" i="3"/>
  <c r="F35" i="3" l="1"/>
  <c r="AD133" i="3"/>
  <c r="P133" i="3"/>
  <c r="Q133" i="3" s="1"/>
  <c r="R133" i="3" s="1"/>
  <c r="Z133" i="3"/>
  <c r="A134" i="3"/>
  <c r="B134" i="3" s="1"/>
  <c r="AA133" i="3"/>
  <c r="AC133" i="3"/>
  <c r="S132" i="3"/>
  <c r="T131" i="3"/>
  <c r="I35" i="3"/>
  <c r="J35" i="3"/>
  <c r="M35" i="3"/>
  <c r="N35" i="3" s="1"/>
  <c r="V35" i="3"/>
  <c r="AE35" i="3"/>
  <c r="W35" i="3" l="1"/>
  <c r="AC134" i="3"/>
  <c r="AA134" i="3"/>
  <c r="A135" i="3"/>
  <c r="B135" i="3" s="1"/>
  <c r="P134" i="3"/>
  <c r="Q134" i="3" s="1"/>
  <c r="R134" i="3" s="1"/>
  <c r="Z134" i="3"/>
  <c r="L35" i="3"/>
  <c r="S133" i="3"/>
  <c r="T132" i="3"/>
  <c r="AD135" i="3" l="1"/>
  <c r="P135" i="3"/>
  <c r="Q135" i="3" s="1"/>
  <c r="R135" i="3" s="1"/>
  <c r="A136" i="3"/>
  <c r="B136" i="3" s="1"/>
  <c r="AA135" i="3"/>
  <c r="AC135" i="3"/>
  <c r="Z135" i="3"/>
  <c r="S134" i="3"/>
  <c r="T133" i="3"/>
  <c r="U35" i="3"/>
  <c r="E36" i="3" s="1"/>
  <c r="H36" i="3" s="1"/>
  <c r="AG36" i="3"/>
  <c r="AH36" i="3"/>
  <c r="Y34" i="3"/>
  <c r="K36" i="3" l="1"/>
  <c r="A137" i="3"/>
  <c r="B137" i="3" s="1"/>
  <c r="P136" i="3"/>
  <c r="Q136" i="3" s="1"/>
  <c r="R136" i="3" s="1"/>
  <c r="AA136" i="3"/>
  <c r="Z136" i="3"/>
  <c r="AD136" i="3"/>
  <c r="AC136" i="3"/>
  <c r="T134" i="3"/>
  <c r="S135" i="3"/>
  <c r="D36" i="3"/>
  <c r="T135" i="3" l="1"/>
  <c r="S136" i="3"/>
  <c r="F36" i="3"/>
  <c r="G36" i="3"/>
  <c r="P137" i="3"/>
  <c r="Q137" i="3" s="1"/>
  <c r="R137" i="3" s="1"/>
  <c r="Z137" i="3"/>
  <c r="AA137" i="3"/>
  <c r="AD137" i="3"/>
  <c r="AC137" i="3"/>
  <c r="A138" i="3"/>
  <c r="B138" i="3" s="1"/>
  <c r="V36" i="3"/>
  <c r="AE36" i="3"/>
  <c r="A139" i="3" l="1"/>
  <c r="B139" i="3" s="1"/>
  <c r="AC138" i="3"/>
  <c r="P138" i="3"/>
  <c r="Q138" i="3" s="1"/>
  <c r="R138" i="3" s="1"/>
  <c r="AA138" i="3"/>
  <c r="AD138" i="3"/>
  <c r="Z138" i="3"/>
  <c r="S137" i="3"/>
  <c r="T136" i="3"/>
  <c r="I36" i="3"/>
  <c r="W36" i="3" s="1"/>
  <c r="J36" i="3"/>
  <c r="M36" i="3"/>
  <c r="N36" i="3" s="1"/>
  <c r="L36" i="3" l="1"/>
  <c r="T137" i="3"/>
  <c r="S138" i="3"/>
  <c r="A140" i="3"/>
  <c r="B140" i="3" s="1"/>
  <c r="AA139" i="3"/>
  <c r="AD139" i="3"/>
  <c r="AC139" i="3"/>
  <c r="Z139" i="3"/>
  <c r="P139" i="3"/>
  <c r="Q139" i="3" s="1"/>
  <c r="R139" i="3" s="1"/>
  <c r="P140" i="3" l="1"/>
  <c r="Q140" i="3" s="1"/>
  <c r="R140" i="3" s="1"/>
  <c r="AD140" i="3"/>
  <c r="A141" i="3"/>
  <c r="B141" i="3" s="1"/>
  <c r="AA140" i="3"/>
  <c r="Z140" i="3"/>
  <c r="AC140" i="3"/>
  <c r="AH37" i="3"/>
  <c r="AG37" i="3"/>
  <c r="U36" i="3"/>
  <c r="E37" i="3" s="1"/>
  <c r="H37" i="3" s="1"/>
  <c r="Y35" i="3"/>
  <c r="S139" i="3"/>
  <c r="T138" i="3"/>
  <c r="D37" i="3" l="1"/>
  <c r="G37" i="3" s="1"/>
  <c r="A142" i="3"/>
  <c r="B142" i="3" s="1"/>
  <c r="P141" i="3"/>
  <c r="Q141" i="3" s="1"/>
  <c r="R141" i="3" s="1"/>
  <c r="AC141" i="3"/>
  <c r="Z141" i="3"/>
  <c r="AD141" i="3"/>
  <c r="AA141" i="3"/>
  <c r="K37" i="3"/>
  <c r="S140" i="3"/>
  <c r="T139" i="3"/>
  <c r="F37" i="3" l="1"/>
  <c r="A143" i="3"/>
  <c r="B143" i="3" s="1"/>
  <c r="AA142" i="3"/>
  <c r="P142" i="3"/>
  <c r="Q142" i="3" s="1"/>
  <c r="R142" i="3" s="1"/>
  <c r="AC142" i="3"/>
  <c r="AD142" i="3"/>
  <c r="Z142" i="3"/>
  <c r="I37" i="3"/>
  <c r="J37" i="3"/>
  <c r="M37" i="3"/>
  <c r="N37" i="3" s="1"/>
  <c r="V37" i="3"/>
  <c r="AE37" i="3"/>
  <c r="T140" i="3"/>
  <c r="S141" i="3"/>
  <c r="W37" i="3" l="1"/>
  <c r="P143" i="3"/>
  <c r="Q143" i="3" s="1"/>
  <c r="R143" i="3" s="1"/>
  <c r="AC143" i="3"/>
  <c r="A144" i="3"/>
  <c r="B144" i="3" s="1"/>
  <c r="AD143" i="3"/>
  <c r="AA143" i="3"/>
  <c r="Z143" i="3"/>
  <c r="T141" i="3"/>
  <c r="S142" i="3"/>
  <c r="L37" i="3"/>
  <c r="T142" i="3" l="1"/>
  <c r="S143" i="3"/>
  <c r="Z144" i="3"/>
  <c r="P144" i="3"/>
  <c r="Q144" i="3" s="1"/>
  <c r="R144" i="3" s="1"/>
  <c r="A145" i="3"/>
  <c r="B145" i="3" s="1"/>
  <c r="AA144" i="3"/>
  <c r="AC144" i="3"/>
  <c r="AD144" i="3"/>
  <c r="AH38" i="3"/>
  <c r="AG38" i="3"/>
  <c r="U37" i="3"/>
  <c r="D38" i="3" s="1"/>
  <c r="Y36" i="3"/>
  <c r="G38" i="3" l="1"/>
  <c r="P145" i="3"/>
  <c r="Q145" i="3" s="1"/>
  <c r="R145" i="3" s="1"/>
  <c r="A146" i="3"/>
  <c r="B146" i="3" s="1"/>
  <c r="Z145" i="3"/>
  <c r="AA145" i="3"/>
  <c r="AC145" i="3"/>
  <c r="AD145" i="3"/>
  <c r="T143" i="3"/>
  <c r="S144" i="3"/>
  <c r="E38" i="3"/>
  <c r="H38" i="3" s="1"/>
  <c r="Z146" i="3" l="1"/>
  <c r="A147" i="3"/>
  <c r="B147" i="3" s="1"/>
  <c r="AA146" i="3"/>
  <c r="AD146" i="3"/>
  <c r="P146" i="3"/>
  <c r="Q146" i="3" s="1"/>
  <c r="R146" i="3" s="1"/>
  <c r="AC146" i="3"/>
  <c r="K38" i="3"/>
  <c r="F38" i="3"/>
  <c r="I38" i="3"/>
  <c r="J38" i="3"/>
  <c r="M38" i="3"/>
  <c r="N38" i="3" s="1"/>
  <c r="T144" i="3"/>
  <c r="S145" i="3"/>
  <c r="Z147" i="3" l="1"/>
  <c r="P147" i="3"/>
  <c r="Q147" i="3" s="1"/>
  <c r="R147" i="3" s="1"/>
  <c r="AC147" i="3"/>
  <c r="A148" i="3"/>
  <c r="B148" i="3" s="1"/>
  <c r="AD147" i="3"/>
  <c r="AA147" i="3"/>
  <c r="S146" i="3"/>
  <c r="T145" i="3"/>
  <c r="L38" i="3"/>
  <c r="V38" i="3"/>
  <c r="W38" i="3" s="1"/>
  <c r="AE38" i="3"/>
  <c r="AD148" i="3" l="1"/>
  <c r="P148" i="3"/>
  <c r="Q148" i="3" s="1"/>
  <c r="R148" i="3" s="1"/>
  <c r="Z148" i="3"/>
  <c r="AC148" i="3"/>
  <c r="AA148" i="3"/>
  <c r="A149" i="3"/>
  <c r="B149" i="3" s="1"/>
  <c r="S147" i="3"/>
  <c r="T146" i="3"/>
  <c r="U38" i="3"/>
  <c r="D39" i="3" s="1"/>
  <c r="AG39" i="3"/>
  <c r="AH39" i="3"/>
  <c r="Y37" i="3"/>
  <c r="G39" i="3" l="1"/>
  <c r="AD149" i="3"/>
  <c r="AC149" i="3"/>
  <c r="P149" i="3"/>
  <c r="Q149" i="3" s="1"/>
  <c r="R149" i="3" s="1"/>
  <c r="AA149" i="3"/>
  <c r="Z149" i="3"/>
  <c r="A150" i="3"/>
  <c r="B150" i="3" s="1"/>
  <c r="T147" i="3"/>
  <c r="S148" i="3"/>
  <c r="E39" i="3"/>
  <c r="H39" i="3" s="1"/>
  <c r="AA150" i="3" l="1"/>
  <c r="P150" i="3"/>
  <c r="Q150" i="3" s="1"/>
  <c r="R150" i="3" s="1"/>
  <c r="Z150" i="3"/>
  <c r="AD150" i="3"/>
  <c r="AC150" i="3"/>
  <c r="A151" i="3"/>
  <c r="B151" i="3" s="1"/>
  <c r="F39" i="3"/>
  <c r="K39" i="3"/>
  <c r="I39" i="3"/>
  <c r="J39" i="3"/>
  <c r="M39" i="3"/>
  <c r="N39" i="3" s="1"/>
  <c r="T148" i="3"/>
  <c r="S149" i="3"/>
  <c r="S150" i="3" l="1"/>
  <c r="T149" i="3"/>
  <c r="P151" i="3"/>
  <c r="Q151" i="3" s="1"/>
  <c r="R151" i="3" s="1"/>
  <c r="AC151" i="3"/>
  <c r="AD151" i="3"/>
  <c r="Z151" i="3"/>
  <c r="A152" i="3"/>
  <c r="B152" i="3" s="1"/>
  <c r="AA151" i="3"/>
  <c r="L39" i="3"/>
  <c r="V39" i="3"/>
  <c r="W39" i="3" s="1"/>
  <c r="AE39" i="3"/>
  <c r="S151" i="3" l="1"/>
  <c r="T150" i="3"/>
  <c r="A153" i="3"/>
  <c r="B153" i="3" s="1"/>
  <c r="AC152" i="3"/>
  <c r="AA152" i="3"/>
  <c r="P152" i="3"/>
  <c r="Q152" i="3" s="1"/>
  <c r="R152" i="3" s="1"/>
  <c r="AD152" i="3"/>
  <c r="Z152" i="3"/>
  <c r="U39" i="3"/>
  <c r="E40" i="3" s="1"/>
  <c r="H40" i="3" s="1"/>
  <c r="AH40" i="3"/>
  <c r="AG40" i="3"/>
  <c r="Y38" i="3"/>
  <c r="D40" i="3" l="1"/>
  <c r="F40" i="3" s="1"/>
  <c r="A154" i="3"/>
  <c r="B154" i="3" s="1"/>
  <c r="P153" i="3"/>
  <c r="Q153" i="3" s="1"/>
  <c r="R153" i="3" s="1"/>
  <c r="AD153" i="3"/>
  <c r="Z153" i="3"/>
  <c r="AA153" i="3"/>
  <c r="AC153" i="3"/>
  <c r="S152" i="3"/>
  <c r="T151" i="3"/>
  <c r="K40" i="3"/>
  <c r="G40" i="3" l="1"/>
  <c r="M40" i="3" s="1"/>
  <c r="N40" i="3" s="1"/>
  <c r="P154" i="3"/>
  <c r="Q154" i="3" s="1"/>
  <c r="R154" i="3" s="1"/>
  <c r="AD154" i="3"/>
  <c r="Z154" i="3"/>
  <c r="AA154" i="3"/>
  <c r="A155" i="3"/>
  <c r="B155" i="3" s="1"/>
  <c r="AC154" i="3"/>
  <c r="S153" i="3"/>
  <c r="T152" i="3"/>
  <c r="V40" i="3"/>
  <c r="AE40" i="3"/>
  <c r="I40" i="3" l="1"/>
  <c r="W40" i="3" s="1"/>
  <c r="J40" i="3"/>
  <c r="L40" i="3" s="1"/>
  <c r="Z155" i="3"/>
  <c r="P155" i="3"/>
  <c r="Q155" i="3" s="1"/>
  <c r="R155" i="3" s="1"/>
  <c r="A156" i="3"/>
  <c r="B156" i="3" s="1"/>
  <c r="AD155" i="3"/>
  <c r="AC155" i="3"/>
  <c r="AA155" i="3"/>
  <c r="T153" i="3"/>
  <c r="S154" i="3"/>
  <c r="U40" i="3" l="1"/>
  <c r="D41" i="3" s="1"/>
  <c r="AG41" i="3"/>
  <c r="AH41" i="3"/>
  <c r="Y39" i="3"/>
  <c r="S155" i="3"/>
  <c r="T154" i="3"/>
  <c r="AA156" i="3"/>
  <c r="A157" i="3"/>
  <c r="B157" i="3" s="1"/>
  <c r="AD156" i="3"/>
  <c r="Z156" i="3"/>
  <c r="AC156" i="3"/>
  <c r="P156" i="3"/>
  <c r="Q156" i="3" s="1"/>
  <c r="R156" i="3" s="1"/>
  <c r="G41" i="3" l="1"/>
  <c r="A158" i="3"/>
  <c r="B158" i="3" s="1"/>
  <c r="AD157" i="3"/>
  <c r="P157" i="3"/>
  <c r="Q157" i="3" s="1"/>
  <c r="R157" i="3" s="1"/>
  <c r="AA157" i="3"/>
  <c r="Z157" i="3"/>
  <c r="AC157" i="3"/>
  <c r="E41" i="3"/>
  <c r="H41" i="3" s="1"/>
  <c r="T155" i="3"/>
  <c r="S156" i="3"/>
  <c r="F41" i="3" l="1"/>
  <c r="S157" i="3"/>
  <c r="T156" i="3"/>
  <c r="A159" i="3"/>
  <c r="B159" i="3" s="1"/>
  <c r="P158" i="3"/>
  <c r="Q158" i="3" s="1"/>
  <c r="R158" i="3" s="1"/>
  <c r="AA158" i="3"/>
  <c r="AC158" i="3"/>
  <c r="Z158" i="3"/>
  <c r="AD158" i="3"/>
  <c r="I41" i="3"/>
  <c r="J41" i="3"/>
  <c r="M41" i="3"/>
  <c r="N41" i="3" s="1"/>
  <c r="K41" i="3"/>
  <c r="V41" i="3" l="1"/>
  <c r="W41" i="3" s="1"/>
  <c r="AE41" i="3"/>
  <c r="L41" i="3"/>
  <c r="A160" i="3"/>
  <c r="B160" i="3" s="1"/>
  <c r="AC159" i="3"/>
  <c r="P159" i="3"/>
  <c r="Q159" i="3" s="1"/>
  <c r="R159" i="3" s="1"/>
  <c r="AD159" i="3"/>
  <c r="Z159" i="3"/>
  <c r="AA159" i="3"/>
  <c r="S158" i="3"/>
  <c r="T157" i="3"/>
  <c r="AA160" i="3" l="1"/>
  <c r="P160" i="3"/>
  <c r="Q160" i="3" s="1"/>
  <c r="R160" i="3" s="1"/>
  <c r="Z160" i="3"/>
  <c r="AC160" i="3"/>
  <c r="AD160" i="3"/>
  <c r="A161" i="3"/>
  <c r="B161" i="3" s="1"/>
  <c r="U41" i="3"/>
  <c r="E42" i="3" s="1"/>
  <c r="H42" i="3" s="1"/>
  <c r="AG42" i="3"/>
  <c r="AH42" i="3"/>
  <c r="Y40" i="3"/>
  <c r="T158" i="3"/>
  <c r="S159" i="3"/>
  <c r="D42" i="3" l="1"/>
  <c r="G42" i="3" s="1"/>
  <c r="Z161" i="3"/>
  <c r="AA161" i="3"/>
  <c r="P161" i="3"/>
  <c r="Q161" i="3" s="1"/>
  <c r="R161" i="3" s="1"/>
  <c r="A162" i="3"/>
  <c r="B162" i="3" s="1"/>
  <c r="AC161" i="3"/>
  <c r="AD161" i="3"/>
  <c r="S160" i="3"/>
  <c r="T159" i="3"/>
  <c r="K42" i="3"/>
  <c r="F42" i="3" l="1"/>
  <c r="AD162" i="3"/>
  <c r="Z162" i="3"/>
  <c r="P162" i="3"/>
  <c r="Q162" i="3" s="1"/>
  <c r="R162" i="3" s="1"/>
  <c r="AC162" i="3"/>
  <c r="AA162" i="3"/>
  <c r="A163" i="3"/>
  <c r="B163" i="3" s="1"/>
  <c r="V42" i="3"/>
  <c r="AE42" i="3"/>
  <c r="S161" i="3"/>
  <c r="T160" i="3"/>
  <c r="I42" i="3"/>
  <c r="J42" i="3"/>
  <c r="M42" i="3"/>
  <c r="N42" i="3" s="1"/>
  <c r="W42" i="3" l="1"/>
  <c r="L42" i="3"/>
  <c r="T161" i="3"/>
  <c r="S162" i="3"/>
  <c r="AD163" i="3"/>
  <c r="A164" i="3"/>
  <c r="B164" i="3" s="1"/>
  <c r="AC163" i="3"/>
  <c r="Z163" i="3"/>
  <c r="P163" i="3"/>
  <c r="Q163" i="3" s="1"/>
  <c r="R163" i="3" s="1"/>
  <c r="AA163" i="3"/>
  <c r="P164" i="3" l="1"/>
  <c r="Q164" i="3" s="1"/>
  <c r="R164" i="3" s="1"/>
  <c r="AA164" i="3"/>
  <c r="AD164" i="3"/>
  <c r="Z164" i="3"/>
  <c r="A165" i="3"/>
  <c r="B165" i="3" s="1"/>
  <c r="AC164" i="3"/>
  <c r="AG43" i="3"/>
  <c r="AH43" i="3"/>
  <c r="U42" i="3"/>
  <c r="E43" i="3" s="1"/>
  <c r="H43" i="3" s="1"/>
  <c r="Y41" i="3"/>
  <c r="S163" i="3"/>
  <c r="T162" i="3"/>
  <c r="K43" i="3" l="1"/>
  <c r="AD165" i="3"/>
  <c r="A166" i="3"/>
  <c r="B166" i="3" s="1"/>
  <c r="AA165" i="3"/>
  <c r="AC165" i="3"/>
  <c r="Z165" i="3"/>
  <c r="P165" i="3"/>
  <c r="Q165" i="3" s="1"/>
  <c r="R165" i="3" s="1"/>
  <c r="D43" i="3"/>
  <c r="S164" i="3"/>
  <c r="T163" i="3"/>
  <c r="A167" i="3" l="1"/>
  <c r="B167" i="3" s="1"/>
  <c r="AA166" i="3"/>
  <c r="AC166" i="3"/>
  <c r="P166" i="3"/>
  <c r="Q166" i="3" s="1"/>
  <c r="R166" i="3" s="1"/>
  <c r="AD166" i="3"/>
  <c r="Z166" i="3"/>
  <c r="T164" i="3"/>
  <c r="S165" i="3"/>
  <c r="V43" i="3"/>
  <c r="AE43" i="3"/>
  <c r="F43" i="3"/>
  <c r="G43" i="3"/>
  <c r="P167" i="3" l="1"/>
  <c r="Q167" i="3" s="1"/>
  <c r="R167" i="3" s="1"/>
  <c r="AA167" i="3"/>
  <c r="AC167" i="3"/>
  <c r="Z167" i="3"/>
  <c r="A168" i="3"/>
  <c r="B168" i="3" s="1"/>
  <c r="AD167" i="3"/>
  <c r="S166" i="3"/>
  <c r="T165" i="3"/>
  <c r="I43" i="3"/>
  <c r="W43" i="3" s="1"/>
  <c r="J43" i="3"/>
  <c r="M43" i="3"/>
  <c r="N43" i="3" s="1"/>
  <c r="A169" i="3" l="1"/>
  <c r="B169" i="3" s="1"/>
  <c r="Z168" i="3"/>
  <c r="P168" i="3"/>
  <c r="Q168" i="3" s="1"/>
  <c r="R168" i="3" s="1"/>
  <c r="AD168" i="3"/>
  <c r="AC168" i="3"/>
  <c r="AA168" i="3"/>
  <c r="L43" i="3"/>
  <c r="T166" i="3"/>
  <c r="S167" i="3"/>
  <c r="AD169" i="3" l="1"/>
  <c r="P169" i="3"/>
  <c r="Q169" i="3" s="1"/>
  <c r="R169" i="3" s="1"/>
  <c r="A170" i="3"/>
  <c r="B170" i="3" s="1"/>
  <c r="Z169" i="3"/>
  <c r="AA169" i="3"/>
  <c r="AC169" i="3"/>
  <c r="AG44" i="3"/>
  <c r="AH44" i="3"/>
  <c r="U43" i="3"/>
  <c r="E44" i="3" s="1"/>
  <c r="H44" i="3" s="1"/>
  <c r="Y42" i="3"/>
  <c r="S168" i="3"/>
  <c r="T167" i="3"/>
  <c r="D44" i="3" l="1"/>
  <c r="F44" i="3" s="1"/>
  <c r="K44" i="3"/>
  <c r="AA170" i="3"/>
  <c r="AC170" i="3"/>
  <c r="P170" i="3"/>
  <c r="Q170" i="3" s="1"/>
  <c r="R170" i="3" s="1"/>
  <c r="A171" i="3"/>
  <c r="B171" i="3" s="1"/>
  <c r="AD170" i="3"/>
  <c r="Z170" i="3"/>
  <c r="T168" i="3"/>
  <c r="S169" i="3"/>
  <c r="G44" i="3" l="1"/>
  <c r="J44" i="3" s="1"/>
  <c r="A172" i="3"/>
  <c r="B172" i="3" s="1"/>
  <c r="AD171" i="3"/>
  <c r="P171" i="3"/>
  <c r="Q171" i="3" s="1"/>
  <c r="R171" i="3" s="1"/>
  <c r="Z171" i="3"/>
  <c r="AA171" i="3"/>
  <c r="AC171" i="3"/>
  <c r="V44" i="3"/>
  <c r="AE44" i="3"/>
  <c r="T169" i="3"/>
  <c r="S170" i="3"/>
  <c r="M44" i="3" l="1"/>
  <c r="N44" i="3" s="1"/>
  <c r="I44" i="3"/>
  <c r="W44" i="3" s="1"/>
  <c r="A173" i="3"/>
  <c r="B173" i="3" s="1"/>
  <c r="AD172" i="3"/>
  <c r="P172" i="3"/>
  <c r="Q172" i="3" s="1"/>
  <c r="R172" i="3" s="1"/>
  <c r="AA172" i="3"/>
  <c r="AC172" i="3"/>
  <c r="Z172" i="3"/>
  <c r="T170" i="3"/>
  <c r="S171" i="3"/>
  <c r="L44" i="3"/>
  <c r="Z173" i="3" l="1"/>
  <c r="P173" i="3"/>
  <c r="Q173" i="3" s="1"/>
  <c r="R173" i="3" s="1"/>
  <c r="AD173" i="3"/>
  <c r="AA173" i="3"/>
  <c r="AC173" i="3"/>
  <c r="A174" i="3"/>
  <c r="B174" i="3" s="1"/>
  <c r="T171" i="3"/>
  <c r="S172" i="3"/>
  <c r="U44" i="3"/>
  <c r="E45" i="3" s="1"/>
  <c r="H45" i="3" s="1"/>
  <c r="AH45" i="3"/>
  <c r="AG45" i="3"/>
  <c r="Y43" i="3"/>
  <c r="D45" i="3" l="1"/>
  <c r="G45" i="3" s="1"/>
  <c r="K45" i="3"/>
  <c r="Z174" i="3"/>
  <c r="A175" i="3"/>
  <c r="B175" i="3" s="1"/>
  <c r="P174" i="3"/>
  <c r="Q174" i="3" s="1"/>
  <c r="R174" i="3" s="1"/>
  <c r="AA174" i="3"/>
  <c r="AC174" i="3"/>
  <c r="S173" i="3"/>
  <c r="T172" i="3"/>
  <c r="F45" i="3" l="1"/>
  <c r="P175" i="3"/>
  <c r="Q175" i="3" s="1"/>
  <c r="R175" i="3" s="1"/>
  <c r="A176" i="3"/>
  <c r="B176" i="3" s="1"/>
  <c r="AD175" i="3"/>
  <c r="AC175" i="3"/>
  <c r="AA175" i="3"/>
  <c r="Z175" i="3"/>
  <c r="I45" i="3"/>
  <c r="J45" i="3"/>
  <c r="M45" i="3"/>
  <c r="N45" i="3" s="1"/>
  <c r="S174" i="3"/>
  <c r="T173" i="3"/>
  <c r="V45" i="3"/>
  <c r="AE45" i="3"/>
  <c r="AD176" i="3" l="1"/>
  <c r="P176" i="3"/>
  <c r="Q176" i="3" s="1"/>
  <c r="R176" i="3" s="1"/>
  <c r="A177" i="3"/>
  <c r="B177" i="3" s="1"/>
  <c r="Z176" i="3"/>
  <c r="AC176" i="3"/>
  <c r="AA176" i="3"/>
  <c r="T174" i="3"/>
  <c r="S175" i="3"/>
  <c r="L45" i="3"/>
  <c r="W45" i="3"/>
  <c r="T175" i="3" l="1"/>
  <c r="S176" i="3"/>
  <c r="P177" i="3"/>
  <c r="Q177" i="3" s="1"/>
  <c r="R177" i="3" s="1"/>
  <c r="AA177" i="3"/>
  <c r="Z177" i="3"/>
  <c r="A178" i="3"/>
  <c r="B178" i="3" s="1"/>
  <c r="AC177" i="3"/>
  <c r="AD177" i="3"/>
  <c r="U45" i="3"/>
  <c r="D46" i="3" s="1"/>
  <c r="AG46" i="3"/>
  <c r="AH46" i="3"/>
  <c r="Y44" i="3"/>
  <c r="E46" i="3" l="1"/>
  <c r="H46" i="3" s="1"/>
  <c r="K46" i="3" s="1"/>
  <c r="G46" i="3"/>
  <c r="P178" i="3"/>
  <c r="Q178" i="3" s="1"/>
  <c r="R178" i="3" s="1"/>
  <c r="AA178" i="3"/>
  <c r="A179" i="3"/>
  <c r="B179" i="3" s="1"/>
  <c r="Z178" i="3"/>
  <c r="AD178" i="3"/>
  <c r="AC178" i="3"/>
  <c r="T176" i="3"/>
  <c r="S177" i="3"/>
  <c r="F46" i="3" l="1"/>
  <c r="P179" i="3"/>
  <c r="Q179" i="3" s="1"/>
  <c r="R179" i="3" s="1"/>
  <c r="A180" i="3"/>
  <c r="B180" i="3" s="1"/>
  <c r="AA179" i="3"/>
  <c r="Z179" i="3"/>
  <c r="AD179" i="3"/>
  <c r="AC179" i="3"/>
  <c r="I46" i="3"/>
  <c r="J46" i="3"/>
  <c r="M46" i="3"/>
  <c r="N46" i="3" s="1"/>
  <c r="V46" i="3"/>
  <c r="AE46" i="3"/>
  <c r="S178" i="3"/>
  <c r="T177" i="3"/>
  <c r="W46" i="3" l="1"/>
  <c r="AC180" i="3"/>
  <c r="A181" i="3"/>
  <c r="B181" i="3" s="1"/>
  <c r="AA180" i="3"/>
  <c r="AD180" i="3"/>
  <c r="Z180" i="3"/>
  <c r="P180" i="3"/>
  <c r="Q180" i="3" s="1"/>
  <c r="R180" i="3" s="1"/>
  <c r="T178" i="3"/>
  <c r="S179" i="3"/>
  <c r="L46" i="3"/>
  <c r="AA181" i="3" l="1"/>
  <c r="Z181" i="3"/>
  <c r="A182" i="3"/>
  <c r="B182" i="3" s="1"/>
  <c r="AD181" i="3"/>
  <c r="AC181" i="3"/>
  <c r="P181" i="3"/>
  <c r="Q181" i="3" s="1"/>
  <c r="R181" i="3" s="1"/>
  <c r="S180" i="3"/>
  <c r="T179" i="3"/>
  <c r="AG47" i="3"/>
  <c r="U46" i="3"/>
  <c r="D47" i="3" s="1"/>
  <c r="AH47" i="3"/>
  <c r="Y45" i="3"/>
  <c r="E47" i="3" l="1"/>
  <c r="H47" i="3" s="1"/>
  <c r="K47" i="3" s="1"/>
  <c r="A183" i="3"/>
  <c r="B183" i="3" s="1"/>
  <c r="AA182" i="3"/>
  <c r="P182" i="3"/>
  <c r="Q182" i="3" s="1"/>
  <c r="R182" i="3" s="1"/>
  <c r="Z182" i="3"/>
  <c r="AD182" i="3"/>
  <c r="AC182" i="3"/>
  <c r="T180" i="3"/>
  <c r="S181" i="3"/>
  <c r="G47" i="3"/>
  <c r="F47" i="3" l="1"/>
  <c r="Z183" i="3"/>
  <c r="AA183" i="3"/>
  <c r="AC183" i="3"/>
  <c r="A184" i="3"/>
  <c r="B184" i="3" s="1"/>
  <c r="P183" i="3"/>
  <c r="Q183" i="3" s="1"/>
  <c r="R183" i="3" s="1"/>
  <c r="AD183" i="3"/>
  <c r="S182" i="3"/>
  <c r="T181" i="3"/>
  <c r="I47" i="3"/>
  <c r="J47" i="3"/>
  <c r="M47" i="3"/>
  <c r="N47" i="3" s="1"/>
  <c r="V47" i="3"/>
  <c r="AE47" i="3"/>
  <c r="W47" i="3" l="1"/>
  <c r="AD184" i="3"/>
  <c r="Z184" i="3"/>
  <c r="P184" i="3"/>
  <c r="Q184" i="3" s="1"/>
  <c r="R184" i="3" s="1"/>
  <c r="AA184" i="3"/>
  <c r="A185" i="3"/>
  <c r="B185" i="3" s="1"/>
  <c r="AC184" i="3"/>
  <c r="L47" i="3"/>
  <c r="S183" i="3"/>
  <c r="T182" i="3"/>
  <c r="AD185" i="3" l="1"/>
  <c r="A186" i="3"/>
  <c r="B186" i="3" s="1"/>
  <c r="AC185" i="3"/>
  <c r="P185" i="3"/>
  <c r="Q185" i="3" s="1"/>
  <c r="R185" i="3" s="1"/>
  <c r="AA185" i="3"/>
  <c r="Z185" i="3"/>
  <c r="AG48" i="3"/>
  <c r="U47" i="3"/>
  <c r="E48" i="3" s="1"/>
  <c r="H48" i="3" s="1"/>
  <c r="AH48" i="3"/>
  <c r="Y46" i="3"/>
  <c r="S184" i="3"/>
  <c r="T183" i="3"/>
  <c r="AD186" i="3" l="1"/>
  <c r="Z186" i="3"/>
  <c r="A187" i="3"/>
  <c r="B187" i="3" s="1"/>
  <c r="P186" i="3"/>
  <c r="Q186" i="3" s="1"/>
  <c r="R186" i="3" s="1"/>
  <c r="AA186" i="3"/>
  <c r="AC186" i="3"/>
  <c r="K48" i="3"/>
  <c r="D48" i="3"/>
  <c r="T184" i="3"/>
  <c r="S185" i="3"/>
  <c r="P187" i="3" l="1"/>
  <c r="Q187" i="3" s="1"/>
  <c r="R187" i="3" s="1"/>
  <c r="AD187" i="3"/>
  <c r="A188" i="3"/>
  <c r="B188" i="3" s="1"/>
  <c r="AA187" i="3"/>
  <c r="AC187" i="3"/>
  <c r="Z187" i="3"/>
  <c r="S186" i="3"/>
  <c r="T185" i="3"/>
  <c r="V48" i="3"/>
  <c r="AE48" i="3"/>
  <c r="F48" i="3"/>
  <c r="G48" i="3"/>
  <c r="S187" i="3" l="1"/>
  <c r="T186" i="3"/>
  <c r="Z188" i="3"/>
  <c r="A189" i="3"/>
  <c r="B189" i="3" s="1"/>
  <c r="AA188" i="3"/>
  <c r="P188" i="3"/>
  <c r="Q188" i="3" s="1"/>
  <c r="R188" i="3" s="1"/>
  <c r="AD188" i="3"/>
  <c r="AC188" i="3"/>
  <c r="I48" i="3"/>
  <c r="W48" i="3" s="1"/>
  <c r="J48" i="3"/>
  <c r="M48" i="3"/>
  <c r="N48" i="3" s="1"/>
  <c r="Z189" i="3" l="1"/>
  <c r="P189" i="3"/>
  <c r="Q189" i="3" s="1"/>
  <c r="R189" i="3" s="1"/>
  <c r="A190" i="3"/>
  <c r="B190" i="3" s="1"/>
  <c r="AC189" i="3"/>
  <c r="AA189" i="3"/>
  <c r="AD189" i="3"/>
  <c r="S188" i="3"/>
  <c r="T187" i="3"/>
  <c r="L48" i="3"/>
  <c r="AC190" i="3" l="1"/>
  <c r="P190" i="3"/>
  <c r="Q190" i="3" s="1"/>
  <c r="R190" i="3" s="1"/>
  <c r="Z190" i="3"/>
  <c r="A191" i="3"/>
  <c r="B191" i="3" s="1"/>
  <c r="AD190" i="3"/>
  <c r="AA190" i="3"/>
  <c r="S189" i="3"/>
  <c r="T188" i="3"/>
  <c r="AH49" i="3"/>
  <c r="U48" i="3"/>
  <c r="E49" i="3" s="1"/>
  <c r="H49" i="3" s="1"/>
  <c r="AG49" i="3"/>
  <c r="Y47" i="3"/>
  <c r="D49" i="3" l="1"/>
  <c r="G49" i="3" s="1"/>
  <c r="K49" i="3"/>
  <c r="Z191" i="3"/>
  <c r="P191" i="3"/>
  <c r="Q191" i="3" s="1"/>
  <c r="R191" i="3" s="1"/>
  <c r="AA191" i="3"/>
  <c r="AC191" i="3"/>
  <c r="A192" i="3"/>
  <c r="B192" i="3" s="1"/>
  <c r="AD191" i="3"/>
  <c r="S190" i="3"/>
  <c r="T189" i="3"/>
  <c r="F49" i="3" l="1"/>
  <c r="P192" i="3"/>
  <c r="Q192" i="3" s="1"/>
  <c r="R192" i="3" s="1"/>
  <c r="Z192" i="3"/>
  <c r="AD192" i="3"/>
  <c r="AA192" i="3"/>
  <c r="A193" i="3"/>
  <c r="B193" i="3" s="1"/>
  <c r="AC192" i="3"/>
  <c r="V49" i="3"/>
  <c r="AE49" i="3"/>
  <c r="I49" i="3"/>
  <c r="J49" i="3"/>
  <c r="M49" i="3"/>
  <c r="N49" i="3" s="1"/>
  <c r="S191" i="3"/>
  <c r="T190" i="3"/>
  <c r="W49" i="3" l="1"/>
  <c r="Z193" i="3"/>
  <c r="AC193" i="3"/>
  <c r="AA193" i="3"/>
  <c r="AD193" i="3"/>
  <c r="P193" i="3"/>
  <c r="Q193" i="3" s="1"/>
  <c r="R193" i="3" s="1"/>
  <c r="A194" i="3"/>
  <c r="B194" i="3" s="1"/>
  <c r="S192" i="3"/>
  <c r="T191" i="3"/>
  <c r="L49" i="3"/>
  <c r="T192" i="3" l="1"/>
  <c r="S193" i="3"/>
  <c r="AD194" i="3"/>
  <c r="P194" i="3"/>
  <c r="Q194" i="3" s="1"/>
  <c r="R194" i="3" s="1"/>
  <c r="AA194" i="3"/>
  <c r="A195" i="3"/>
  <c r="B195" i="3" s="1"/>
  <c r="AC194" i="3"/>
  <c r="Z194" i="3"/>
  <c r="AG50" i="3"/>
  <c r="AH50" i="3"/>
  <c r="U49" i="3"/>
  <c r="D50" i="3" s="1"/>
  <c r="Y48" i="3"/>
  <c r="E50" i="3" l="1"/>
  <c r="H50" i="3" s="1"/>
  <c r="K50" i="3" s="1"/>
  <c r="G50" i="3"/>
  <c r="S194" i="3"/>
  <c r="T193" i="3"/>
  <c r="Z195" i="3"/>
  <c r="AA195" i="3"/>
  <c r="P195" i="3"/>
  <c r="Q195" i="3" s="1"/>
  <c r="R195" i="3" s="1"/>
  <c r="A196" i="3"/>
  <c r="B196" i="3" s="1"/>
  <c r="AC195" i="3"/>
  <c r="AD195" i="3"/>
  <c r="F50" i="3" l="1"/>
  <c r="P196" i="3"/>
  <c r="Q196" i="3" s="1"/>
  <c r="R196" i="3" s="1"/>
  <c r="A197" i="3"/>
  <c r="B197" i="3" s="1"/>
  <c r="Z196" i="3"/>
  <c r="AC196" i="3"/>
  <c r="AA196" i="3"/>
  <c r="AD196" i="3"/>
  <c r="S195" i="3"/>
  <c r="T194" i="3"/>
  <c r="I50" i="3"/>
  <c r="J50" i="3"/>
  <c r="M50" i="3"/>
  <c r="N50" i="3" s="1"/>
  <c r="V50" i="3"/>
  <c r="AE50" i="3"/>
  <c r="L50" i="3" l="1"/>
  <c r="S196" i="3"/>
  <c r="T195" i="3"/>
  <c r="AD197" i="3"/>
  <c r="P197" i="3"/>
  <c r="Q197" i="3" s="1"/>
  <c r="R197" i="3" s="1"/>
  <c r="AA197" i="3"/>
  <c r="A198" i="3"/>
  <c r="B198" i="3" s="1"/>
  <c r="Z197" i="3"/>
  <c r="AC197" i="3"/>
  <c r="W50" i="3"/>
  <c r="P198" i="3" l="1"/>
  <c r="Q198" i="3" s="1"/>
  <c r="R198" i="3" s="1"/>
  <c r="A199" i="3"/>
  <c r="B199" i="3" s="1"/>
  <c r="AA198" i="3"/>
  <c r="Z198" i="3"/>
  <c r="AC198" i="3"/>
  <c r="AD198" i="3"/>
  <c r="U50" i="3"/>
  <c r="D51" i="3" s="1"/>
  <c r="AH51" i="3"/>
  <c r="AG51" i="3"/>
  <c r="Y49" i="3"/>
  <c r="S197" i="3"/>
  <c r="T196" i="3"/>
  <c r="E51" i="3" l="1"/>
  <c r="H51" i="3" s="1"/>
  <c r="K51" i="3" s="1"/>
  <c r="AD199" i="3"/>
  <c r="P199" i="3"/>
  <c r="Q199" i="3" s="1"/>
  <c r="R199" i="3" s="1"/>
  <c r="A200" i="3"/>
  <c r="B200" i="3" s="1"/>
  <c r="AC199" i="3"/>
  <c r="AA199" i="3"/>
  <c r="Z199" i="3"/>
  <c r="G51" i="3"/>
  <c r="T197" i="3"/>
  <c r="S198" i="3"/>
  <c r="F51" i="3" l="1"/>
  <c r="AA200" i="3"/>
  <c r="A201" i="3"/>
  <c r="B201" i="3" s="1"/>
  <c r="AC200" i="3"/>
  <c r="Z200" i="3"/>
  <c r="P200" i="3"/>
  <c r="Q200" i="3" s="1"/>
  <c r="R200" i="3" s="1"/>
  <c r="AD200" i="3"/>
  <c r="V51" i="3"/>
  <c r="AE51" i="3"/>
  <c r="I51" i="3"/>
  <c r="J51" i="3"/>
  <c r="M51" i="3"/>
  <c r="N51" i="3" s="1"/>
  <c r="T198" i="3"/>
  <c r="S199" i="3"/>
  <c r="W51" i="3" l="1"/>
  <c r="A202" i="3"/>
  <c r="B202" i="3" s="1"/>
  <c r="AC201" i="3"/>
  <c r="Z201" i="3"/>
  <c r="AD201" i="3"/>
  <c r="P201" i="3"/>
  <c r="Q201" i="3" s="1"/>
  <c r="R201" i="3" s="1"/>
  <c r="AA201" i="3"/>
  <c r="L51" i="3"/>
  <c r="S200" i="3"/>
  <c r="T199" i="3"/>
  <c r="AD202" i="3" l="1"/>
  <c r="P202" i="3"/>
  <c r="Q202" i="3" s="1"/>
  <c r="R202" i="3" s="1"/>
  <c r="AA202" i="3"/>
  <c r="AC202" i="3"/>
  <c r="Z202" i="3"/>
  <c r="A203" i="3"/>
  <c r="B203" i="3" s="1"/>
  <c r="AH52" i="3"/>
  <c r="AG52" i="3"/>
  <c r="U51" i="3"/>
  <c r="E52" i="3" s="1"/>
  <c r="H52" i="3" s="1"/>
  <c r="Y50" i="3"/>
  <c r="S201" i="3"/>
  <c r="T200" i="3"/>
  <c r="D52" i="3" l="1"/>
  <c r="G52" i="3" s="1"/>
  <c r="K52" i="3"/>
  <c r="Z203" i="3"/>
  <c r="P203" i="3"/>
  <c r="Q203" i="3" s="1"/>
  <c r="R203" i="3" s="1"/>
  <c r="AD203" i="3"/>
  <c r="AA203" i="3"/>
  <c r="AC203" i="3"/>
  <c r="S202" i="3"/>
  <c r="T201" i="3"/>
  <c r="F52" i="3" l="1"/>
  <c r="S203" i="3"/>
  <c r="T202" i="3"/>
  <c r="V52" i="3"/>
  <c r="AE52" i="3"/>
  <c r="I52" i="3"/>
  <c r="J52" i="3"/>
  <c r="M52" i="3"/>
  <c r="N52" i="3" s="1"/>
  <c r="T203" i="3" l="1"/>
  <c r="L52" i="3"/>
  <c r="W52" i="3"/>
  <c r="AH53" i="3" l="1"/>
  <c r="AG53" i="3"/>
  <c r="U52" i="3"/>
  <c r="E53" i="3" s="1"/>
  <c r="H53" i="3" s="1"/>
  <c r="Y51" i="3"/>
  <c r="K53" i="3" l="1"/>
  <c r="D53" i="3"/>
  <c r="V53" i="3" l="1"/>
  <c r="AE53" i="3"/>
  <c r="F53" i="3"/>
  <c r="G53" i="3"/>
  <c r="I53" i="3" l="1"/>
  <c r="W53" i="3" s="1"/>
  <c r="J53" i="3"/>
  <c r="M53" i="3"/>
  <c r="N53" i="3" s="1"/>
  <c r="L53" i="3" l="1"/>
  <c r="AH54" i="3" l="1"/>
  <c r="AG54" i="3"/>
  <c r="U53" i="3"/>
  <c r="D54" i="3" s="1"/>
  <c r="Y52" i="3"/>
  <c r="G54" i="3" l="1"/>
  <c r="E54" i="3"/>
  <c r="H54" i="3" s="1"/>
  <c r="I54" i="3" l="1"/>
  <c r="J54" i="3"/>
  <c r="M54" i="3"/>
  <c r="N54" i="3" s="1"/>
  <c r="F54" i="3"/>
  <c r="K54" i="3"/>
  <c r="L54" i="3" l="1"/>
  <c r="V54" i="3"/>
  <c r="W54" i="3" s="1"/>
  <c r="AE54" i="3"/>
  <c r="U54" i="3" l="1"/>
  <c r="D55" i="3" s="1"/>
  <c r="AG55" i="3"/>
  <c r="AH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H56" i="3" l="1"/>
  <c r="U55" i="3"/>
  <c r="D56" i="3" s="1"/>
  <c r="AG56" i="3"/>
  <c r="Y54" i="3"/>
  <c r="E56" i="3" l="1"/>
  <c r="H56" i="3" s="1"/>
  <c r="K56" i="3" s="1"/>
  <c r="G56" i="3"/>
  <c r="F56" i="3" l="1"/>
  <c r="I56" i="3"/>
  <c r="J56" i="3"/>
  <c r="M56" i="3"/>
  <c r="N56" i="3" s="1"/>
  <c r="V56" i="3"/>
  <c r="AE56" i="3"/>
  <c r="W56" i="3" l="1"/>
  <c r="L56" i="3"/>
  <c r="AG57" i="3" l="1"/>
  <c r="U56" i="3"/>
  <c r="D57" i="3" s="1"/>
  <c r="AH57" i="3"/>
  <c r="Y55" i="3"/>
  <c r="E57" i="3" l="1"/>
  <c r="H57" i="3" s="1"/>
  <c r="K57" i="3" s="1"/>
  <c r="G57" i="3"/>
  <c r="F57" i="3" l="1"/>
  <c r="I57" i="3"/>
  <c r="J57" i="3"/>
  <c r="M57" i="3"/>
  <c r="N57" i="3" s="1"/>
  <c r="V57" i="3"/>
  <c r="AE57" i="3"/>
  <c r="W57" i="3" l="1"/>
  <c r="L57" i="3"/>
  <c r="U57" i="3" l="1"/>
  <c r="D58" i="3" s="1"/>
  <c r="AH58" i="3"/>
  <c r="AG58" i="3"/>
  <c r="Y56" i="3"/>
  <c r="E58" i="3" l="1"/>
  <c r="H58" i="3" s="1"/>
  <c r="K58" i="3" s="1"/>
  <c r="G58" i="3"/>
  <c r="F58" i="3" l="1"/>
  <c r="V58" i="3"/>
  <c r="AE58" i="3"/>
  <c r="I58" i="3"/>
  <c r="J58" i="3"/>
  <c r="M58" i="3"/>
  <c r="N58" i="3" s="1"/>
  <c r="W58" i="3" l="1"/>
  <c r="L58" i="3"/>
  <c r="AG59" i="3" l="1"/>
  <c r="U58" i="3"/>
  <c r="E59" i="3" s="1"/>
  <c r="H59" i="3" s="1"/>
  <c r="AH59" i="3"/>
  <c r="Y57" i="3"/>
  <c r="D59" i="3" l="1"/>
  <c r="F59" i="3" s="1"/>
  <c r="K59" i="3"/>
  <c r="G59" i="3" l="1"/>
  <c r="M59" i="3" s="1"/>
  <c r="N59" i="3" s="1"/>
  <c r="V59" i="3"/>
  <c r="AE59" i="3"/>
  <c r="I59" i="3" l="1"/>
  <c r="W59" i="3" s="1"/>
  <c r="J59" i="3"/>
  <c r="L59" i="3" s="1"/>
  <c r="AH60" i="3" l="1"/>
  <c r="U59" i="3"/>
  <c r="D60" i="3" s="1"/>
  <c r="AG60" i="3"/>
  <c r="Y58" i="3"/>
  <c r="E60" i="3" l="1"/>
  <c r="H60" i="3" s="1"/>
  <c r="K60" i="3" s="1"/>
  <c r="G60" i="3"/>
  <c r="F60" i="3" l="1"/>
  <c r="I60" i="3"/>
  <c r="J60" i="3"/>
  <c r="M60" i="3"/>
  <c r="N60" i="3" s="1"/>
  <c r="V60" i="3"/>
  <c r="AE60" i="3"/>
  <c r="W60" i="3" l="1"/>
  <c r="L60" i="3"/>
  <c r="AG61" i="3" l="1"/>
  <c r="U60" i="3"/>
  <c r="D61" i="3" s="1"/>
  <c r="AH61" i="3"/>
  <c r="Y59" i="3"/>
  <c r="G61" i="3" l="1"/>
  <c r="E61" i="3"/>
  <c r="H61" i="3" s="1"/>
  <c r="F61" i="3" l="1"/>
  <c r="I61" i="3"/>
  <c r="J61" i="3"/>
  <c r="M61" i="3"/>
  <c r="N61" i="3" s="1"/>
  <c r="K61" i="3"/>
  <c r="V61" i="3" l="1"/>
  <c r="W61" i="3" s="1"/>
  <c r="AE61" i="3"/>
  <c r="L61" i="3"/>
  <c r="AG62" i="3" l="1"/>
  <c r="U61" i="3"/>
  <c r="D62" i="3" s="1"/>
  <c r="AH62" i="3"/>
  <c r="Y60" i="3"/>
  <c r="G62" i="3" l="1"/>
  <c r="E62" i="3"/>
  <c r="H62" i="3" s="1"/>
  <c r="F62" i="3" l="1"/>
  <c r="I62" i="3"/>
  <c r="J62" i="3"/>
  <c r="M62" i="3"/>
  <c r="N62" i="3" s="1"/>
  <c r="K62" i="3"/>
  <c r="V62" i="3" l="1"/>
  <c r="W62" i="3" s="1"/>
  <c r="AE62" i="3"/>
  <c r="L62" i="3"/>
  <c r="U62" i="3" l="1"/>
  <c r="E63" i="3" s="1"/>
  <c r="H63" i="3" s="1"/>
  <c r="AG63" i="3"/>
  <c r="AH63" i="3"/>
  <c r="Y61" i="3"/>
  <c r="D63" i="3" l="1"/>
  <c r="G63" i="3" s="1"/>
  <c r="K63" i="3"/>
  <c r="F63" i="3" l="1"/>
  <c r="I63" i="3"/>
  <c r="J63" i="3"/>
  <c r="M63" i="3"/>
  <c r="N63" i="3" s="1"/>
  <c r="V63" i="3"/>
  <c r="AE63" i="3"/>
  <c r="W63" i="3" l="1"/>
  <c r="L63" i="3"/>
  <c r="U63" i="3" l="1"/>
  <c r="E64" i="3" s="1"/>
  <c r="H64" i="3" s="1"/>
  <c r="AH64" i="3"/>
  <c r="AG64" i="3"/>
  <c r="Y62" i="3"/>
  <c r="D64" i="3" l="1"/>
  <c r="G64" i="3" s="1"/>
  <c r="K64" i="3"/>
  <c r="F64" i="3" l="1"/>
  <c r="V64" i="3"/>
  <c r="AE64" i="3"/>
  <c r="I64" i="3"/>
  <c r="J64" i="3"/>
  <c r="M64" i="3"/>
  <c r="N64" i="3" s="1"/>
  <c r="W64" i="3" l="1"/>
  <c r="L64" i="3"/>
  <c r="U64" i="3" l="1"/>
  <c r="E65" i="3" s="1"/>
  <c r="H65" i="3" s="1"/>
  <c r="AH65" i="3"/>
  <c r="AG65" i="3"/>
  <c r="Y63" i="3"/>
  <c r="D65" i="3" l="1"/>
  <c r="G65" i="3" s="1"/>
  <c r="K65" i="3"/>
  <c r="F65" i="3" l="1"/>
  <c r="V65" i="3"/>
  <c r="AE65" i="3"/>
  <c r="I65" i="3"/>
  <c r="J65" i="3"/>
  <c r="M65" i="3"/>
  <c r="N65" i="3" s="1"/>
  <c r="W65" i="3" l="1"/>
  <c r="L65" i="3"/>
  <c r="U65" i="3" l="1"/>
  <c r="D66" i="3" s="1"/>
  <c r="AH66" i="3"/>
  <c r="AG66" i="3"/>
  <c r="Y64" i="3"/>
  <c r="E66" i="3" l="1"/>
  <c r="H66" i="3" s="1"/>
  <c r="K66" i="3" s="1"/>
  <c r="G66" i="3"/>
  <c r="F66" i="3" l="1"/>
  <c r="I66" i="3"/>
  <c r="J66" i="3"/>
  <c r="M66" i="3"/>
  <c r="N66" i="3" s="1"/>
  <c r="V66" i="3"/>
  <c r="AE66" i="3"/>
  <c r="W66" i="3" l="1"/>
  <c r="L66" i="3"/>
  <c r="U66" i="3" l="1"/>
  <c r="D67" i="3" s="1"/>
  <c r="AH67" i="3"/>
  <c r="AG67" i="3"/>
  <c r="Y65" i="3"/>
  <c r="E67" i="3" l="1"/>
  <c r="H67" i="3" s="1"/>
  <c r="K67" i="3" s="1"/>
  <c r="G67" i="3"/>
  <c r="F67" i="3" l="1"/>
  <c r="I67" i="3"/>
  <c r="J67" i="3"/>
  <c r="M67" i="3"/>
  <c r="N67" i="3" s="1"/>
  <c r="V67" i="3"/>
  <c r="AE67" i="3"/>
  <c r="W67" i="3" l="1"/>
  <c r="L67" i="3"/>
  <c r="U67" i="3" l="1"/>
  <c r="D68" i="3" s="1"/>
  <c r="AH68" i="3"/>
  <c r="AG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U68" i="3" l="1"/>
  <c r="D69" i="3" s="1"/>
  <c r="AH69" i="3"/>
  <c r="AG69" i="3"/>
  <c r="Y67" i="3"/>
  <c r="E69" i="3" l="1"/>
  <c r="H69" i="3" s="1"/>
  <c r="K69" i="3" s="1"/>
  <c r="G69" i="3"/>
  <c r="F69" i="3" l="1"/>
  <c r="I69" i="3"/>
  <c r="J69" i="3"/>
  <c r="M69" i="3"/>
  <c r="N69" i="3" s="1"/>
  <c r="V69" i="3"/>
  <c r="AE69" i="3"/>
  <c r="W69" i="3" l="1"/>
  <c r="L69" i="3"/>
  <c r="AH70" i="3" l="1"/>
  <c r="U69" i="3"/>
  <c r="E70" i="3" s="1"/>
  <c r="H70" i="3" s="1"/>
  <c r="AG70" i="3"/>
  <c r="Y68" i="3"/>
  <c r="D70" i="3" l="1"/>
  <c r="G70" i="3" s="1"/>
  <c r="K70" i="3"/>
  <c r="F70" i="3" l="1"/>
  <c r="I70" i="3"/>
  <c r="J70" i="3"/>
  <c r="M70" i="3"/>
  <c r="N70" i="3" s="1"/>
  <c r="V70" i="3"/>
  <c r="AE70" i="3"/>
  <c r="W70" i="3" l="1"/>
  <c r="L70" i="3"/>
  <c r="AG71" i="3" l="1"/>
  <c r="AH71" i="3"/>
  <c r="U70" i="3"/>
  <c r="E71" i="3" s="1"/>
  <c r="H71" i="3" s="1"/>
  <c r="Y69" i="3"/>
  <c r="D71" i="3" l="1"/>
  <c r="G71" i="3" s="1"/>
  <c r="K71" i="3"/>
  <c r="F71" i="3" l="1"/>
  <c r="I71" i="3"/>
  <c r="J71" i="3"/>
  <c r="M71" i="3"/>
  <c r="N71" i="3" s="1"/>
  <c r="V71" i="3"/>
  <c r="AE71" i="3"/>
  <c r="W71" i="3" l="1"/>
  <c r="L71" i="3"/>
  <c r="AH72" i="3" l="1"/>
  <c r="U71" i="3"/>
  <c r="E72" i="3" s="1"/>
  <c r="H72" i="3" s="1"/>
  <c r="AG72" i="3"/>
  <c r="Y70" i="3"/>
  <c r="D72" i="3" l="1"/>
  <c r="F72" i="3" s="1"/>
  <c r="K72" i="3"/>
  <c r="G72" i="3" l="1"/>
  <c r="M72" i="3" s="1"/>
  <c r="N72" i="3" s="1"/>
  <c r="V72" i="3"/>
  <c r="AE72" i="3"/>
  <c r="I72" i="3" l="1"/>
  <c r="W72" i="3" s="1"/>
  <c r="J72" i="3"/>
  <c r="L72" i="3" s="1"/>
  <c r="U72" i="3" l="1"/>
  <c r="D73" i="3" s="1"/>
  <c r="AG73" i="3"/>
  <c r="AH73" i="3"/>
  <c r="Y71" i="3"/>
  <c r="E73" i="3" l="1"/>
  <c r="H73" i="3" s="1"/>
  <c r="K73" i="3" s="1"/>
  <c r="G73" i="3"/>
  <c r="F73" i="3" l="1"/>
  <c r="I73" i="3"/>
  <c r="J73" i="3"/>
  <c r="M73" i="3"/>
  <c r="N73" i="3" s="1"/>
  <c r="V73" i="3"/>
  <c r="AE73" i="3"/>
  <c r="W73" i="3" l="1"/>
  <c r="L73" i="3"/>
  <c r="AG74" i="3" l="1"/>
  <c r="AH74" i="3"/>
  <c r="U73" i="3"/>
  <c r="D74" i="3" s="1"/>
  <c r="Y72" i="3"/>
  <c r="G74" i="3" l="1"/>
  <c r="E74" i="3"/>
  <c r="H74" i="3" s="1"/>
  <c r="I74" i="3" l="1"/>
  <c r="J74" i="3"/>
  <c r="AD74" i="3" s="1"/>
  <c r="M74" i="3"/>
  <c r="N74" i="3" s="1"/>
  <c r="K74" i="3"/>
  <c r="F74" i="3"/>
  <c r="V74" i="3" l="1"/>
  <c r="W74" i="3" s="1"/>
  <c r="AE74" i="3"/>
  <c r="L74" i="3"/>
  <c r="AG75" i="3" l="1"/>
  <c r="U74" i="3"/>
  <c r="E75" i="3" s="1"/>
  <c r="H75" i="3" s="1"/>
  <c r="AH75" i="3"/>
  <c r="Y73" i="3"/>
  <c r="K75" i="3" l="1"/>
  <c r="D75" i="3"/>
  <c r="V75" i="3" l="1"/>
  <c r="AE75" i="3"/>
  <c r="F75" i="3"/>
  <c r="G75" i="3"/>
  <c r="I75" i="3" l="1"/>
  <c r="W75" i="3" s="1"/>
  <c r="J75" i="3"/>
  <c r="M75" i="3"/>
  <c r="N75" i="3" s="1"/>
  <c r="L75" i="3" l="1"/>
  <c r="U75" i="3" l="1"/>
  <c r="E76" i="3" s="1"/>
  <c r="H76" i="3" s="1"/>
  <c r="AH76" i="3"/>
  <c r="AG76" i="3"/>
  <c r="Y74" i="3"/>
  <c r="D76" i="3" l="1"/>
  <c r="F76" i="3" s="1"/>
  <c r="K76" i="3"/>
  <c r="G76" i="3" l="1"/>
  <c r="I76" i="3" s="1"/>
  <c r="V76" i="3"/>
  <c r="AE76" i="3"/>
  <c r="J76" i="3" l="1"/>
  <c r="L76" i="3" s="1"/>
  <c r="M76" i="3"/>
  <c r="N76" i="3" s="1"/>
  <c r="W76" i="3"/>
  <c r="U76" i="3" l="1"/>
  <c r="D77" i="3" s="1"/>
  <c r="AH77" i="3"/>
  <c r="AG77" i="3"/>
  <c r="Y75" i="3"/>
  <c r="E77" i="3" l="1"/>
  <c r="H77" i="3" s="1"/>
  <c r="K77" i="3" s="1"/>
  <c r="G77" i="3"/>
  <c r="F77" i="3" l="1"/>
  <c r="I77" i="3"/>
  <c r="J77" i="3"/>
  <c r="M77" i="3"/>
  <c r="N77" i="3" s="1"/>
  <c r="V77" i="3"/>
  <c r="AE77" i="3"/>
  <c r="W77" i="3" l="1"/>
  <c r="L77" i="3"/>
  <c r="AH78" i="3" l="1"/>
  <c r="U77" i="3"/>
  <c r="D78" i="3" s="1"/>
  <c r="AG78" i="3"/>
  <c r="Y76" i="3"/>
  <c r="E78" i="3" l="1"/>
  <c r="H78" i="3" s="1"/>
  <c r="K78" i="3" s="1"/>
  <c r="G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H79" i="3"/>
  <c r="AG79" i="3"/>
  <c r="Y77" i="3"/>
  <c r="D79" i="3" l="1"/>
  <c r="G79" i="3" s="1"/>
  <c r="K79" i="3"/>
  <c r="F79" i="3" l="1"/>
  <c r="I79" i="3"/>
  <c r="J79" i="3"/>
  <c r="M79" i="3"/>
  <c r="N79" i="3" s="1"/>
  <c r="V79" i="3"/>
  <c r="AE79" i="3"/>
  <c r="W79" i="3" l="1"/>
  <c r="L79" i="3"/>
  <c r="AH80" i="3" l="1"/>
  <c r="AG80" i="3"/>
  <c r="U79" i="3"/>
  <c r="E80" i="3" s="1"/>
  <c r="H80" i="3" s="1"/>
  <c r="Y78" i="3"/>
  <c r="D80" i="3" l="1"/>
  <c r="F80" i="3" s="1"/>
  <c r="K80" i="3"/>
  <c r="G80" i="3" l="1"/>
  <c r="I80" i="3" s="1"/>
  <c r="V80" i="3"/>
  <c r="AE80" i="3"/>
  <c r="J80" i="3" l="1"/>
  <c r="L80" i="3" s="1"/>
  <c r="M80" i="3"/>
  <c r="N80" i="3" s="1"/>
  <c r="W80" i="3"/>
  <c r="U80" i="3" l="1"/>
  <c r="E81" i="3" s="1"/>
  <c r="H81" i="3" s="1"/>
  <c r="AG81" i="3"/>
  <c r="AH81" i="3"/>
  <c r="Y79" i="3"/>
  <c r="D81" i="3" l="1"/>
  <c r="G81" i="3" s="1"/>
  <c r="K81" i="3"/>
  <c r="F81" i="3" l="1"/>
  <c r="I81" i="3"/>
  <c r="J81" i="3"/>
  <c r="M81" i="3"/>
  <c r="N81" i="3" s="1"/>
  <c r="V81" i="3"/>
  <c r="AE81" i="3"/>
  <c r="W81" i="3" l="1"/>
  <c r="L81" i="3"/>
  <c r="AH82" i="3" l="1"/>
  <c r="AG82" i="3"/>
  <c r="U81" i="3"/>
  <c r="E82" i="3" s="1"/>
  <c r="H82" i="3" s="1"/>
  <c r="Y80" i="3"/>
  <c r="D82" i="3" l="1"/>
  <c r="G82" i="3" s="1"/>
  <c r="K82" i="3"/>
  <c r="F82" i="3" l="1"/>
  <c r="I82" i="3"/>
  <c r="J82" i="3"/>
  <c r="M82" i="3"/>
  <c r="N82" i="3" s="1"/>
  <c r="V82" i="3"/>
  <c r="AE82" i="3"/>
  <c r="W82" i="3" l="1"/>
  <c r="L82" i="3"/>
  <c r="AG83" i="3" l="1"/>
  <c r="U82" i="3"/>
  <c r="D83" i="3" s="1"/>
  <c r="AH83" i="3"/>
  <c r="Y81" i="3"/>
  <c r="E83" i="3" l="1"/>
  <c r="H83" i="3" s="1"/>
  <c r="K83" i="3" s="1"/>
  <c r="G83" i="3"/>
  <c r="F83" i="3" l="1"/>
  <c r="I83" i="3"/>
  <c r="J83" i="3"/>
  <c r="M83" i="3"/>
  <c r="N83" i="3" s="1"/>
  <c r="V83" i="3"/>
  <c r="AE83" i="3"/>
  <c r="W83" i="3" l="1"/>
  <c r="L83" i="3"/>
  <c r="AG84" i="3" l="1"/>
  <c r="AH84" i="3"/>
  <c r="U83" i="3"/>
  <c r="D84" i="3" s="1"/>
  <c r="Y82" i="3"/>
  <c r="G84" i="3" l="1"/>
  <c r="E84" i="3"/>
  <c r="H84" i="3" s="1"/>
  <c r="K84" i="3" l="1"/>
  <c r="I84" i="3"/>
  <c r="J84" i="3"/>
  <c r="M84" i="3"/>
  <c r="N84" i="3" s="1"/>
  <c r="F84" i="3"/>
  <c r="L84" i="3" l="1"/>
  <c r="V84" i="3"/>
  <c r="W84" i="3" s="1"/>
  <c r="AE84" i="3"/>
  <c r="AH85" i="3" l="1"/>
  <c r="AG85" i="3"/>
  <c r="U84" i="3"/>
  <c r="D85" i="3" s="1"/>
  <c r="Y83" i="3"/>
  <c r="E85" i="3" l="1"/>
  <c r="H85" i="3" s="1"/>
  <c r="K85" i="3" s="1"/>
  <c r="G85" i="3"/>
  <c r="F85" i="3" l="1"/>
  <c r="I85" i="3"/>
  <c r="J85" i="3"/>
  <c r="M85" i="3"/>
  <c r="N85" i="3" s="1"/>
  <c r="V85" i="3"/>
  <c r="AE85" i="3"/>
  <c r="W85" i="3" l="1"/>
  <c r="L85" i="3"/>
  <c r="AH86" i="3" l="1"/>
  <c r="AG86" i="3"/>
  <c r="U85" i="3"/>
  <c r="E86" i="3" s="1"/>
  <c r="H86" i="3" s="1"/>
  <c r="Y84" i="3"/>
  <c r="D86" i="3" l="1"/>
  <c r="F86" i="3" s="1"/>
  <c r="K86" i="3"/>
  <c r="G86" i="3" l="1"/>
  <c r="M86" i="3" s="1"/>
  <c r="N86" i="3" s="1"/>
  <c r="V86" i="3"/>
  <c r="AE86" i="3"/>
  <c r="I86" i="3" l="1"/>
  <c r="W86" i="3" s="1"/>
  <c r="J86" i="3"/>
  <c r="L86" i="3" s="1"/>
  <c r="U86" i="3" l="1"/>
  <c r="E87" i="3" s="1"/>
  <c r="H87" i="3" s="1"/>
  <c r="AH87" i="3"/>
  <c r="AG87" i="3"/>
  <c r="Y85" i="3"/>
  <c r="D87" i="3" l="1"/>
  <c r="G87" i="3" s="1"/>
  <c r="K87" i="3"/>
  <c r="F87" i="3" l="1"/>
  <c r="V87" i="3"/>
  <c r="AE87" i="3"/>
  <c r="I87" i="3"/>
  <c r="J87" i="3"/>
  <c r="M87" i="3"/>
  <c r="N87" i="3" s="1"/>
  <c r="L87" i="3" l="1"/>
  <c r="W87" i="3"/>
  <c r="U87" i="3" l="1"/>
  <c r="E88" i="3" s="1"/>
  <c r="H88" i="3" s="1"/>
  <c r="AG88" i="3"/>
  <c r="AH88" i="3"/>
  <c r="Y86" i="3"/>
  <c r="D88" i="3" l="1"/>
  <c r="G88" i="3" s="1"/>
  <c r="K88" i="3"/>
  <c r="F88" i="3" l="1"/>
  <c r="I88" i="3"/>
  <c r="J88" i="3"/>
  <c r="M88" i="3"/>
  <c r="N88" i="3" s="1"/>
  <c r="V88" i="3"/>
  <c r="AE88" i="3"/>
  <c r="W88" i="3" l="1"/>
  <c r="L88" i="3"/>
  <c r="AH89" i="3" l="1"/>
  <c r="U88" i="3"/>
  <c r="E89" i="3" s="1"/>
  <c r="H89" i="3" s="1"/>
  <c r="AG89" i="3"/>
  <c r="Y87" i="3"/>
  <c r="K89" i="3" l="1"/>
  <c r="D89" i="3"/>
  <c r="V89" i="3" l="1"/>
  <c r="AE89" i="3"/>
  <c r="F89" i="3"/>
  <c r="G89" i="3"/>
  <c r="I89" i="3" l="1"/>
  <c r="W89" i="3" s="1"/>
  <c r="J89" i="3"/>
  <c r="M89" i="3"/>
  <c r="N89" i="3" s="1"/>
  <c r="L89" i="3" l="1"/>
  <c r="U89" i="3" l="1"/>
  <c r="D90" i="3" s="1"/>
  <c r="AH90" i="3"/>
  <c r="AG90" i="3"/>
  <c r="Y88" i="3"/>
  <c r="G90" i="3" l="1"/>
  <c r="E90" i="3"/>
  <c r="H90" i="3" s="1"/>
  <c r="F90" i="3" l="1"/>
  <c r="I90" i="3"/>
  <c r="J90" i="3"/>
  <c r="M90" i="3"/>
  <c r="N90" i="3" s="1"/>
  <c r="K90" i="3"/>
  <c r="V90" i="3" l="1"/>
  <c r="W90" i="3" s="1"/>
  <c r="AE90" i="3"/>
  <c r="L90" i="3"/>
  <c r="AG91" i="3" l="1"/>
  <c r="AH91" i="3"/>
  <c r="U90" i="3"/>
  <c r="D91" i="3" s="1"/>
  <c r="Y89" i="3"/>
  <c r="G91" i="3" l="1"/>
  <c r="E91" i="3"/>
  <c r="H91" i="3" s="1"/>
  <c r="F91" i="3" l="1"/>
  <c r="I91" i="3"/>
  <c r="J91" i="3"/>
  <c r="M91" i="3"/>
  <c r="N91" i="3" s="1"/>
  <c r="K91" i="3"/>
  <c r="V91" i="3" l="1"/>
  <c r="W91" i="3" s="1"/>
  <c r="AE91" i="3"/>
  <c r="L91" i="3"/>
  <c r="AH92" i="3" l="1"/>
  <c r="AG92" i="3"/>
  <c r="U91" i="3"/>
  <c r="D92" i="3" s="1"/>
  <c r="Y90" i="3"/>
  <c r="G92" i="3" l="1"/>
  <c r="E92" i="3"/>
  <c r="H92" i="3" s="1"/>
  <c r="F92" i="3" l="1"/>
  <c r="I92" i="3"/>
  <c r="J92" i="3"/>
  <c r="M92" i="3"/>
  <c r="N92" i="3" s="1"/>
  <c r="K92" i="3"/>
  <c r="V92" i="3" l="1"/>
  <c r="W92" i="3" s="1"/>
  <c r="AE92" i="3"/>
  <c r="L92" i="3"/>
  <c r="U92" i="3" l="1"/>
  <c r="D93" i="3" s="1"/>
  <c r="AH93" i="3"/>
  <c r="AG93" i="3"/>
  <c r="Y91" i="3"/>
  <c r="E93" i="3" l="1"/>
  <c r="H93" i="3" s="1"/>
  <c r="K93" i="3" s="1"/>
  <c r="G93" i="3"/>
  <c r="F93" i="3" l="1"/>
  <c r="I93" i="3"/>
  <c r="J93" i="3"/>
  <c r="M93" i="3"/>
  <c r="N93" i="3" s="1"/>
  <c r="V93" i="3"/>
  <c r="AE93" i="3"/>
  <c r="W93" i="3" l="1"/>
  <c r="L93" i="3"/>
  <c r="AG94" i="3" l="1"/>
  <c r="AH94" i="3"/>
  <c r="U93" i="3"/>
  <c r="D94" i="3" s="1"/>
  <c r="Y92" i="3"/>
  <c r="E94" i="3" l="1"/>
  <c r="H94" i="3" s="1"/>
  <c r="K94" i="3" s="1"/>
  <c r="G94" i="3"/>
  <c r="F94" i="3" l="1"/>
  <c r="I94" i="3"/>
  <c r="J94" i="3"/>
  <c r="M94" i="3"/>
  <c r="N94" i="3" s="1"/>
  <c r="V94" i="3"/>
  <c r="AE94" i="3"/>
  <c r="L94" i="3" l="1"/>
  <c r="W94" i="3"/>
  <c r="U94" i="3" l="1"/>
  <c r="D95" i="3" s="1"/>
  <c r="AG95" i="3"/>
  <c r="AH95" i="3"/>
  <c r="Y93" i="3"/>
  <c r="E95" i="3" l="1"/>
  <c r="H95" i="3" s="1"/>
  <c r="K95" i="3" s="1"/>
  <c r="G95" i="3"/>
  <c r="F95" i="3" l="1"/>
  <c r="I95" i="3"/>
  <c r="J95" i="3"/>
  <c r="M95" i="3"/>
  <c r="N95" i="3" s="1"/>
  <c r="V95" i="3"/>
  <c r="AE95" i="3"/>
  <c r="W95" i="3" l="1"/>
  <c r="L95" i="3"/>
  <c r="AG96" i="3" l="1"/>
  <c r="AH96" i="3"/>
  <c r="U95" i="3"/>
  <c r="D96" i="3" s="1"/>
  <c r="Y94" i="3"/>
  <c r="G96" i="3" l="1"/>
  <c r="E96" i="3"/>
  <c r="H96" i="3" s="1"/>
  <c r="F96" i="3" l="1"/>
  <c r="I96" i="3"/>
  <c r="J96" i="3"/>
  <c r="M96" i="3"/>
  <c r="N96" i="3" s="1"/>
  <c r="K96" i="3"/>
  <c r="L96" i="3" l="1"/>
  <c r="V96" i="3"/>
  <c r="W96" i="3" s="1"/>
  <c r="AE96" i="3"/>
  <c r="AG97" i="3" l="1"/>
  <c r="AH97" i="3"/>
  <c r="U96" i="3"/>
  <c r="E97" i="3" s="1"/>
  <c r="H97" i="3" s="1"/>
  <c r="Y95" i="3"/>
  <c r="K97" i="3" l="1"/>
  <c r="D97" i="3"/>
  <c r="V97" i="3" l="1"/>
  <c r="AE97" i="3"/>
  <c r="F97" i="3"/>
  <c r="G97" i="3"/>
  <c r="I97" i="3" l="1"/>
  <c r="W97" i="3" s="1"/>
  <c r="J97" i="3"/>
  <c r="M97" i="3"/>
  <c r="N97" i="3" s="1"/>
  <c r="L97" i="3" l="1"/>
  <c r="U97" i="3" l="1"/>
  <c r="D98" i="3" s="1"/>
  <c r="AH98" i="3"/>
  <c r="AG98" i="3"/>
  <c r="Y96" i="3"/>
  <c r="G98" i="3" l="1"/>
  <c r="E98" i="3"/>
  <c r="H98" i="3" s="1"/>
  <c r="I98" i="3" l="1"/>
  <c r="J98" i="3"/>
  <c r="M98" i="3"/>
  <c r="N98" i="3" s="1"/>
  <c r="F98" i="3"/>
  <c r="K98" i="3"/>
  <c r="L98" i="3" l="1"/>
  <c r="V98" i="3"/>
  <c r="W98" i="3" s="1"/>
  <c r="AE98" i="3"/>
  <c r="AG99" i="3" l="1"/>
  <c r="AH99" i="3"/>
  <c r="U98" i="3"/>
  <c r="D99" i="3" s="1"/>
  <c r="Y97" i="3"/>
  <c r="G99" i="3" l="1"/>
  <c r="E99" i="3"/>
  <c r="H99" i="3" s="1"/>
  <c r="F99" i="3" l="1"/>
  <c r="I99" i="3"/>
  <c r="J99" i="3"/>
  <c r="M99" i="3"/>
  <c r="N99" i="3" s="1"/>
  <c r="K99" i="3"/>
  <c r="V99" i="3" l="1"/>
  <c r="W99" i="3" s="1"/>
  <c r="AE99" i="3"/>
  <c r="L99" i="3"/>
  <c r="U99" i="3" l="1"/>
  <c r="D100" i="3" s="1"/>
  <c r="AH100" i="3"/>
  <c r="AG100" i="3"/>
  <c r="Y98" i="3"/>
  <c r="E100" i="3" l="1"/>
  <c r="H100" i="3" s="1"/>
  <c r="K100" i="3" s="1"/>
  <c r="G100" i="3"/>
  <c r="F100" i="3" l="1"/>
  <c r="V100" i="3"/>
  <c r="AE100" i="3"/>
  <c r="I100" i="3"/>
  <c r="J100" i="3"/>
  <c r="M100" i="3"/>
  <c r="N100" i="3" s="1"/>
  <c r="W100" i="3" l="1"/>
  <c r="L100" i="3"/>
  <c r="AH101" i="3" l="1"/>
  <c r="U100" i="3"/>
  <c r="E101" i="3" s="1"/>
  <c r="H101" i="3" s="1"/>
  <c r="AG101" i="3"/>
  <c r="Y99" i="3"/>
  <c r="K101" i="3" l="1"/>
  <c r="D101" i="3"/>
  <c r="V101" i="3" l="1"/>
  <c r="AE101" i="3"/>
  <c r="F101" i="3"/>
  <c r="G101" i="3"/>
  <c r="I101" i="3" l="1"/>
  <c r="W101" i="3" s="1"/>
  <c r="J101" i="3"/>
  <c r="M101" i="3"/>
  <c r="N101" i="3" s="1"/>
  <c r="L101" i="3" l="1"/>
  <c r="AH102" i="3" l="1"/>
  <c r="AG102" i="3"/>
  <c r="U101" i="3"/>
  <c r="E102" i="3" s="1"/>
  <c r="H102" i="3" s="1"/>
  <c r="Y100" i="3"/>
  <c r="K102" i="3" l="1"/>
  <c r="D102" i="3"/>
  <c r="V102" i="3" l="1"/>
  <c r="AE102" i="3"/>
  <c r="F102" i="3"/>
  <c r="G102" i="3"/>
  <c r="I102" i="3" l="1"/>
  <c r="W102" i="3" s="1"/>
  <c r="J102" i="3"/>
  <c r="M102" i="3"/>
  <c r="N102" i="3" s="1"/>
  <c r="L102" i="3" l="1"/>
  <c r="AG103" i="3" l="1"/>
  <c r="AH103" i="3"/>
  <c r="U102" i="3"/>
  <c r="E103" i="3" s="1"/>
  <c r="H103" i="3" s="1"/>
  <c r="Y101" i="3"/>
  <c r="K103" i="3" l="1"/>
  <c r="D103" i="3"/>
  <c r="V103" i="3" l="1"/>
  <c r="AE103" i="3"/>
  <c r="F103" i="3"/>
  <c r="G103" i="3"/>
  <c r="I103" i="3" l="1"/>
  <c r="W103" i="3" s="1"/>
  <c r="J103" i="3"/>
  <c r="M103" i="3"/>
  <c r="N103" i="3" s="1"/>
  <c r="L103" i="3" l="1"/>
  <c r="AG104" i="3" l="1"/>
  <c r="AH104" i="3"/>
  <c r="U103" i="3"/>
  <c r="E104" i="3" s="1"/>
  <c r="H104" i="3" s="1"/>
  <c r="Y102" i="3"/>
  <c r="K104" i="3" l="1"/>
  <c r="D104" i="3"/>
  <c r="V104" i="3" l="1"/>
  <c r="AE104" i="3"/>
  <c r="F104" i="3"/>
  <c r="G104" i="3"/>
  <c r="I104" i="3" l="1"/>
  <c r="W104" i="3" s="1"/>
  <c r="J104" i="3"/>
  <c r="M104" i="3"/>
  <c r="N104" i="3" s="1"/>
  <c r="L104" i="3" l="1"/>
  <c r="AD104" i="3"/>
  <c r="U104" i="3" l="1"/>
  <c r="E105" i="3" s="1"/>
  <c r="H105" i="3" s="1"/>
  <c r="AG105" i="3"/>
  <c r="AH105" i="3"/>
  <c r="Y103" i="3"/>
  <c r="D105" i="3" l="1"/>
  <c r="G105" i="3" s="1"/>
  <c r="K105" i="3"/>
  <c r="F105" i="3" l="1"/>
  <c r="V105" i="3"/>
  <c r="AE105" i="3"/>
  <c r="I105" i="3"/>
  <c r="J105" i="3"/>
  <c r="M105" i="3"/>
  <c r="N105" i="3" s="1"/>
  <c r="W105" i="3" l="1"/>
  <c r="L105" i="3"/>
  <c r="AH106" i="3" l="1"/>
  <c r="AG106" i="3"/>
  <c r="U105" i="3"/>
  <c r="D106" i="3" s="1"/>
  <c r="Y104" i="3"/>
  <c r="E106" i="3" l="1"/>
  <c r="H106" i="3" s="1"/>
  <c r="K106" i="3" s="1"/>
  <c r="G106" i="3"/>
  <c r="F106" i="3" l="1"/>
  <c r="V106" i="3"/>
  <c r="AE106" i="3"/>
  <c r="I106" i="3"/>
  <c r="J106" i="3"/>
  <c r="M106" i="3"/>
  <c r="N106" i="3" s="1"/>
  <c r="W106" i="3" l="1"/>
  <c r="L106" i="3"/>
  <c r="AG107" i="3" l="1"/>
  <c r="AH107" i="3"/>
  <c r="U106" i="3"/>
  <c r="E107" i="3" s="1"/>
  <c r="H107" i="3" s="1"/>
  <c r="Y105" i="3"/>
  <c r="K107" i="3" l="1"/>
  <c r="D107" i="3"/>
  <c r="V107" i="3" l="1"/>
  <c r="AE107" i="3"/>
  <c r="F107" i="3"/>
  <c r="G107" i="3"/>
  <c r="I107" i="3" l="1"/>
  <c r="W107" i="3" s="1"/>
  <c r="J107" i="3"/>
  <c r="M107" i="3"/>
  <c r="N107" i="3" s="1"/>
  <c r="L107" i="3" l="1"/>
  <c r="AH108" i="3" l="1"/>
  <c r="U107" i="3"/>
  <c r="E108" i="3" s="1"/>
  <c r="H108" i="3" s="1"/>
  <c r="AG108" i="3"/>
  <c r="Y106" i="3"/>
  <c r="D108" i="3" l="1"/>
  <c r="G108" i="3" s="1"/>
  <c r="K108" i="3"/>
  <c r="F108" i="3" l="1"/>
  <c r="I108" i="3"/>
  <c r="J108" i="3"/>
  <c r="M108" i="3"/>
  <c r="N108" i="3" s="1"/>
  <c r="V108" i="3"/>
  <c r="AE108" i="3"/>
  <c r="W108" i="3" l="1"/>
  <c r="L108" i="3"/>
  <c r="AG109" i="3" l="1"/>
  <c r="U108" i="3"/>
  <c r="D109" i="3" s="1"/>
  <c r="AH109" i="3"/>
  <c r="Y107" i="3"/>
  <c r="E109" i="3" l="1"/>
  <c r="H109" i="3" s="1"/>
  <c r="K109" i="3" s="1"/>
  <c r="G109" i="3"/>
  <c r="F109" i="3" l="1"/>
  <c r="V109" i="3"/>
  <c r="AE109" i="3"/>
  <c r="I109" i="3"/>
  <c r="J109" i="3"/>
  <c r="M109" i="3"/>
  <c r="N109" i="3" s="1"/>
  <c r="L109" i="3" l="1"/>
  <c r="W109" i="3"/>
  <c r="AH110" i="3" l="1"/>
  <c r="AG110" i="3"/>
  <c r="U109" i="3"/>
  <c r="D110" i="3" s="1"/>
  <c r="Y108" i="3"/>
  <c r="E110" i="3" l="1"/>
  <c r="H110" i="3" s="1"/>
  <c r="K110" i="3" s="1"/>
  <c r="G110" i="3"/>
  <c r="F110" i="3" l="1"/>
  <c r="I110" i="3"/>
  <c r="J110" i="3"/>
  <c r="M110" i="3"/>
  <c r="N110" i="3" s="1"/>
  <c r="V110" i="3"/>
  <c r="AE110" i="3"/>
  <c r="W110" i="3" l="1"/>
  <c r="L110" i="3"/>
  <c r="AH111" i="3" l="1"/>
  <c r="U110" i="3"/>
  <c r="E111" i="3" s="1"/>
  <c r="H111" i="3" s="1"/>
  <c r="AG111" i="3"/>
  <c r="Y109" i="3"/>
  <c r="D111" i="3" l="1"/>
  <c r="G111" i="3" s="1"/>
  <c r="K111" i="3"/>
  <c r="F111" i="3" l="1"/>
  <c r="I111" i="3"/>
  <c r="J111" i="3"/>
  <c r="M111" i="3"/>
  <c r="N111" i="3" s="1"/>
  <c r="V111" i="3"/>
  <c r="AE111" i="3"/>
  <c r="W111" i="3" l="1"/>
  <c r="L111" i="3"/>
  <c r="AH112" i="3" l="1"/>
  <c r="U111" i="3"/>
  <c r="D112" i="3" s="1"/>
  <c r="AG112" i="3"/>
  <c r="Y110" i="3"/>
  <c r="E112" i="3" l="1"/>
  <c r="H112" i="3" s="1"/>
  <c r="K112" i="3" s="1"/>
  <c r="G112" i="3"/>
  <c r="F112" i="3" l="1"/>
  <c r="V112" i="3"/>
  <c r="AE112" i="3"/>
  <c r="I112" i="3"/>
  <c r="J112" i="3"/>
  <c r="M112" i="3"/>
  <c r="N112" i="3" s="1"/>
  <c r="W112" i="3" l="1"/>
  <c r="L112" i="3"/>
  <c r="AG113" i="3" l="1"/>
  <c r="U112" i="3"/>
  <c r="E113" i="3" s="1"/>
  <c r="H113" i="3" s="1"/>
  <c r="AH113" i="3"/>
  <c r="Y111" i="3"/>
  <c r="D113" i="3" l="1"/>
  <c r="G113" i="3" s="1"/>
  <c r="K113" i="3"/>
  <c r="F113" i="3" l="1"/>
  <c r="V113" i="3"/>
  <c r="AE113" i="3"/>
  <c r="I113" i="3"/>
  <c r="J113" i="3"/>
  <c r="M113" i="3"/>
  <c r="N113" i="3" s="1"/>
  <c r="W113" i="3" l="1"/>
  <c r="L113" i="3"/>
  <c r="AH114" i="3" l="1"/>
  <c r="U113" i="3"/>
  <c r="D114" i="3" s="1"/>
  <c r="AG114" i="3"/>
  <c r="Y112" i="3"/>
  <c r="E114" i="3" l="1"/>
  <c r="H114" i="3" s="1"/>
  <c r="K114" i="3" s="1"/>
  <c r="G114" i="3"/>
  <c r="F114" i="3" l="1"/>
  <c r="I114" i="3"/>
  <c r="J114" i="3"/>
  <c r="M114" i="3"/>
  <c r="N114" i="3" s="1"/>
  <c r="V114" i="3"/>
  <c r="AE114" i="3"/>
  <c r="W114" i="3" l="1"/>
  <c r="L114" i="3"/>
  <c r="U114" i="3" l="1"/>
  <c r="D115" i="3" s="1"/>
  <c r="AH115" i="3"/>
  <c r="AG115" i="3"/>
  <c r="Y113" i="3"/>
  <c r="G115" i="3" l="1"/>
  <c r="E115" i="3"/>
  <c r="H115" i="3" s="1"/>
  <c r="F115" i="3" l="1"/>
  <c r="I115" i="3"/>
  <c r="J115" i="3"/>
  <c r="M115" i="3"/>
  <c r="N115" i="3" s="1"/>
  <c r="K115" i="3"/>
  <c r="V115" i="3" l="1"/>
  <c r="W115" i="3" s="1"/>
  <c r="AE115" i="3"/>
  <c r="L115" i="3"/>
  <c r="AH116" i="3" l="1"/>
  <c r="U115" i="3"/>
  <c r="E116" i="3" s="1"/>
  <c r="H116" i="3" s="1"/>
  <c r="AG116" i="3"/>
  <c r="Y114" i="3"/>
  <c r="K116" i="3" l="1"/>
  <c r="D116" i="3"/>
  <c r="V116" i="3" l="1"/>
  <c r="AE116" i="3"/>
  <c r="F116" i="3"/>
  <c r="G116" i="3"/>
  <c r="I116" i="3" l="1"/>
  <c r="W116" i="3" s="1"/>
  <c r="J116" i="3"/>
  <c r="M116" i="3"/>
  <c r="N116" i="3" s="1"/>
  <c r="L116" i="3" l="1"/>
  <c r="U116" i="3" l="1"/>
  <c r="D117" i="3" s="1"/>
  <c r="AH117" i="3"/>
  <c r="AG117" i="3"/>
  <c r="Y115" i="3"/>
  <c r="E117" i="3" l="1"/>
  <c r="H117" i="3" s="1"/>
  <c r="K117" i="3" s="1"/>
  <c r="G117" i="3"/>
  <c r="F117" i="3" l="1"/>
  <c r="I117" i="3"/>
  <c r="J117" i="3"/>
  <c r="M117" i="3"/>
  <c r="N117" i="3" s="1"/>
  <c r="V117" i="3"/>
  <c r="AE117" i="3"/>
  <c r="W117" i="3" l="1"/>
  <c r="L117" i="3"/>
  <c r="AG118" i="3" l="1"/>
  <c r="U117" i="3"/>
  <c r="D118" i="3" s="1"/>
  <c r="AH118" i="3"/>
  <c r="Y116" i="3"/>
  <c r="E118" i="3" l="1"/>
  <c r="H118" i="3" s="1"/>
  <c r="K118" i="3" s="1"/>
  <c r="G118" i="3"/>
  <c r="F118" i="3" l="1"/>
  <c r="I118" i="3"/>
  <c r="J118" i="3"/>
  <c r="M118" i="3"/>
  <c r="N118" i="3" s="1"/>
  <c r="V118" i="3"/>
  <c r="AE118" i="3"/>
  <c r="L118" i="3" l="1"/>
  <c r="W118" i="3"/>
  <c r="U118" i="3" l="1"/>
  <c r="E119" i="3" s="1"/>
  <c r="H119" i="3" s="1"/>
  <c r="AG119" i="3"/>
  <c r="AH119" i="3"/>
  <c r="Y117" i="3"/>
  <c r="D119" i="3" l="1"/>
  <c r="F119" i="3" s="1"/>
  <c r="K119" i="3"/>
  <c r="G119" i="3" l="1"/>
  <c r="M119" i="3" s="1"/>
  <c r="N119" i="3" s="1"/>
  <c r="V119" i="3"/>
  <c r="AE119" i="3"/>
  <c r="I119" i="3" l="1"/>
  <c r="W119" i="3" s="1"/>
  <c r="J119" i="3"/>
  <c r="L119" i="3" s="1"/>
  <c r="AH120" i="3" l="1"/>
  <c r="U119" i="3"/>
  <c r="D120" i="3" s="1"/>
  <c r="AG120" i="3"/>
  <c r="Y118" i="3"/>
  <c r="E120" i="3" l="1"/>
  <c r="H120" i="3" s="1"/>
  <c r="K120" i="3" s="1"/>
  <c r="G120" i="3"/>
  <c r="F120" i="3" l="1"/>
  <c r="I120" i="3"/>
  <c r="J120" i="3"/>
  <c r="M120" i="3"/>
  <c r="N120" i="3" s="1"/>
  <c r="V120" i="3"/>
  <c r="AE120" i="3"/>
  <c r="W120" i="3" l="1"/>
  <c r="L120" i="3"/>
  <c r="U120" i="3" l="1"/>
  <c r="E121" i="3" s="1"/>
  <c r="H121" i="3" s="1"/>
  <c r="AH121" i="3"/>
  <c r="AG121" i="3"/>
  <c r="Y119" i="3"/>
  <c r="D121" i="3" l="1"/>
  <c r="G121" i="3" s="1"/>
  <c r="K121" i="3"/>
  <c r="F121" i="3" l="1"/>
  <c r="I121" i="3"/>
  <c r="J121" i="3"/>
  <c r="M121" i="3"/>
  <c r="N121" i="3" s="1"/>
  <c r="V121" i="3"/>
  <c r="AE121" i="3"/>
  <c r="L121" i="3" l="1"/>
  <c r="W121" i="3"/>
  <c r="U121" i="3" l="1"/>
  <c r="D122" i="3" s="1"/>
  <c r="AG122" i="3"/>
  <c r="AH122" i="3"/>
  <c r="Y120" i="3"/>
  <c r="G122" i="3" l="1"/>
  <c r="E122" i="3"/>
  <c r="H122" i="3" s="1"/>
  <c r="F122" i="3" l="1"/>
  <c r="K122" i="3"/>
  <c r="I122" i="3"/>
  <c r="J122" i="3"/>
  <c r="M122" i="3"/>
  <c r="N122" i="3" s="1"/>
  <c r="L122" i="3" l="1"/>
  <c r="V122" i="3"/>
  <c r="W122" i="3" s="1"/>
  <c r="AE122" i="3"/>
  <c r="U122" i="3" l="1"/>
  <c r="D123" i="3" s="1"/>
  <c r="AH123" i="3"/>
  <c r="AG123" i="3"/>
  <c r="Y121" i="3"/>
  <c r="G123" i="3" l="1"/>
  <c r="E123" i="3"/>
  <c r="H123" i="3" s="1"/>
  <c r="I123" i="3" l="1"/>
  <c r="J123" i="3"/>
  <c r="M123" i="3"/>
  <c r="N123" i="3" s="1"/>
  <c r="K123" i="3"/>
  <c r="F123" i="3"/>
  <c r="V123" i="3" l="1"/>
  <c r="W123" i="3" s="1"/>
  <c r="AE123" i="3"/>
  <c r="L123" i="3"/>
  <c r="U123" i="3" l="1"/>
  <c r="D124" i="3" s="1"/>
  <c r="AH124" i="3"/>
  <c r="AG124" i="3"/>
  <c r="Y122" i="3"/>
  <c r="E124" i="3" l="1"/>
  <c r="H124" i="3" s="1"/>
  <c r="K124" i="3" s="1"/>
  <c r="G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K125" i="3" l="1"/>
  <c r="D125" i="3"/>
  <c r="V125" i="3" l="1"/>
  <c r="AE125" i="3"/>
  <c r="F125" i="3"/>
  <c r="G125" i="3"/>
  <c r="I125" i="3" l="1"/>
  <c r="W125" i="3" s="1"/>
  <c r="J125" i="3"/>
  <c r="M125" i="3"/>
  <c r="N125" i="3" s="1"/>
  <c r="L125" i="3" l="1"/>
  <c r="AG126" i="3" l="1"/>
  <c r="AH126" i="3"/>
  <c r="U125" i="3"/>
  <c r="D126" i="3" s="1"/>
  <c r="Y124" i="3"/>
  <c r="E126" i="3" l="1"/>
  <c r="H126" i="3" s="1"/>
  <c r="K126" i="3" s="1"/>
  <c r="G126" i="3"/>
  <c r="F126" i="3" l="1"/>
  <c r="I126" i="3"/>
  <c r="J126" i="3"/>
  <c r="M126" i="3"/>
  <c r="N126" i="3" s="1"/>
  <c r="V126" i="3"/>
  <c r="AE126" i="3"/>
  <c r="W126" i="3" l="1"/>
  <c r="L126" i="3"/>
  <c r="U126" i="3" l="1"/>
  <c r="E127" i="3" s="1"/>
  <c r="H127" i="3" s="1"/>
  <c r="AH127" i="3"/>
  <c r="AG127" i="3"/>
  <c r="Y125" i="3"/>
  <c r="D127" i="3" l="1"/>
  <c r="G127" i="3" s="1"/>
  <c r="K127" i="3"/>
  <c r="F127" i="3" l="1"/>
  <c r="I127" i="3"/>
  <c r="J127" i="3"/>
  <c r="M127" i="3"/>
  <c r="N127" i="3" s="1"/>
  <c r="V127" i="3"/>
  <c r="AE127" i="3"/>
  <c r="W127" i="3" l="1"/>
  <c r="L127" i="3"/>
  <c r="AH128" i="3" l="1"/>
  <c r="U127" i="3"/>
  <c r="E128" i="3" s="1"/>
  <c r="H128" i="3" s="1"/>
  <c r="AG128" i="3"/>
  <c r="Y126" i="3"/>
  <c r="D128" i="3" l="1"/>
  <c r="G128" i="3" s="1"/>
  <c r="K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G129" i="3" l="1"/>
  <c r="E129" i="3"/>
  <c r="H129" i="3" s="1"/>
  <c r="F129" i="3" l="1"/>
  <c r="I129" i="3"/>
  <c r="J129" i="3"/>
  <c r="M129" i="3"/>
  <c r="N129" i="3" s="1"/>
  <c r="K129" i="3"/>
  <c r="V129" i="3" l="1"/>
  <c r="W129" i="3" s="1"/>
  <c r="AE129" i="3"/>
  <c r="L129" i="3"/>
  <c r="U129" i="3" l="1"/>
  <c r="E130" i="3" s="1"/>
  <c r="H130" i="3" s="1"/>
  <c r="AH130" i="3"/>
  <c r="AG130" i="3"/>
  <c r="Y128" i="3"/>
  <c r="D130" i="3" l="1"/>
  <c r="G130" i="3" s="1"/>
  <c r="K130" i="3"/>
  <c r="F130" i="3" l="1"/>
  <c r="V130" i="3"/>
  <c r="AE130" i="3"/>
  <c r="I130" i="3"/>
  <c r="J130" i="3"/>
  <c r="M130" i="3"/>
  <c r="N130" i="3" s="1"/>
  <c r="L130" i="3" l="1"/>
  <c r="W130" i="3"/>
  <c r="U130" i="3" l="1"/>
  <c r="E131" i="3" s="1"/>
  <c r="H131" i="3" s="1"/>
  <c r="AH131" i="3"/>
  <c r="AG131" i="3"/>
  <c r="Y129" i="3"/>
  <c r="D131" i="3" l="1"/>
  <c r="F131" i="3" s="1"/>
  <c r="K131" i="3"/>
  <c r="G131" i="3" l="1"/>
  <c r="M131" i="3" s="1"/>
  <c r="N131" i="3" s="1"/>
  <c r="V131" i="3"/>
  <c r="AE131" i="3"/>
  <c r="J131" i="3" l="1"/>
  <c r="L131" i="3" s="1"/>
  <c r="I131" i="3"/>
  <c r="W131" i="3" s="1"/>
  <c r="U131" i="3" l="1"/>
  <c r="E132" i="3" s="1"/>
  <c r="H132" i="3" s="1"/>
  <c r="AH132" i="3"/>
  <c r="AG132" i="3"/>
  <c r="Y130" i="3"/>
  <c r="K132" i="3" l="1"/>
  <c r="D132" i="3"/>
  <c r="V132" i="3" l="1"/>
  <c r="AE132" i="3"/>
  <c r="F132" i="3"/>
  <c r="G132" i="3"/>
  <c r="I132" i="3" l="1"/>
  <c r="W132" i="3" s="1"/>
  <c r="J132" i="3"/>
  <c r="M132" i="3"/>
  <c r="N132" i="3" s="1"/>
  <c r="L132" i="3" l="1"/>
  <c r="U132" i="3" l="1"/>
  <c r="D133" i="3" s="1"/>
  <c r="AH133" i="3"/>
  <c r="AG133" i="3"/>
  <c r="Y131" i="3"/>
  <c r="E133" i="3" l="1"/>
  <c r="H133" i="3" s="1"/>
  <c r="K133" i="3" s="1"/>
  <c r="G133" i="3"/>
  <c r="F133" i="3" l="1"/>
  <c r="V133" i="3"/>
  <c r="AE133" i="3"/>
  <c r="I133" i="3"/>
  <c r="J133" i="3"/>
  <c r="M133" i="3"/>
  <c r="N133" i="3" s="1"/>
  <c r="W133" i="3" l="1"/>
  <c r="L133" i="3"/>
  <c r="AG134" i="3" l="1"/>
  <c r="U133" i="3"/>
  <c r="D134" i="3" s="1"/>
  <c r="AH134" i="3"/>
  <c r="Y132" i="3"/>
  <c r="E134" i="3" l="1"/>
  <c r="H134" i="3" s="1"/>
  <c r="K134" i="3" s="1"/>
  <c r="G134" i="3"/>
  <c r="F134" i="3" l="1"/>
  <c r="I134" i="3"/>
  <c r="J134" i="3"/>
  <c r="AD134" i="3" s="1"/>
  <c r="M134" i="3"/>
  <c r="N134" i="3" s="1"/>
  <c r="V134" i="3"/>
  <c r="AE134" i="3"/>
  <c r="W134" i="3" l="1"/>
  <c r="L134" i="3"/>
  <c r="U134" i="3" l="1"/>
  <c r="E135" i="3" s="1"/>
  <c r="H135" i="3" s="1"/>
  <c r="AH135" i="3"/>
  <c r="AG135" i="3"/>
  <c r="Y133" i="3"/>
  <c r="K135" i="3" l="1"/>
  <c r="D135" i="3"/>
  <c r="V135" i="3" l="1"/>
  <c r="AE135" i="3"/>
  <c r="F135" i="3"/>
  <c r="G135" i="3"/>
  <c r="I135" i="3" l="1"/>
  <c r="W135" i="3" s="1"/>
  <c r="J135" i="3"/>
  <c r="M135" i="3"/>
  <c r="N135" i="3" s="1"/>
  <c r="L135" i="3" l="1"/>
  <c r="AH136" i="3" l="1"/>
  <c r="U135" i="3"/>
  <c r="D136" i="3" s="1"/>
  <c r="AG136" i="3"/>
  <c r="Y134" i="3"/>
  <c r="E136" i="3" l="1"/>
  <c r="H136" i="3" s="1"/>
  <c r="K136" i="3" s="1"/>
  <c r="G136" i="3"/>
  <c r="F136" i="3" l="1"/>
  <c r="I136" i="3"/>
  <c r="J136" i="3"/>
  <c r="M136" i="3"/>
  <c r="N136" i="3" s="1"/>
  <c r="V136" i="3"/>
  <c r="AE136" i="3"/>
  <c r="W136" i="3" l="1"/>
  <c r="L136" i="3"/>
  <c r="U136" i="3" l="1"/>
  <c r="D137" i="3" s="1"/>
  <c r="AH137" i="3"/>
  <c r="AG137" i="3"/>
  <c r="Y135" i="3"/>
  <c r="E137" i="3" l="1"/>
  <c r="H137" i="3" s="1"/>
  <c r="K137" i="3" s="1"/>
  <c r="G137" i="3"/>
  <c r="F137" i="3" l="1"/>
  <c r="I137" i="3"/>
  <c r="J137" i="3"/>
  <c r="M137" i="3"/>
  <c r="N137" i="3" s="1"/>
  <c r="V137" i="3"/>
  <c r="AE137" i="3"/>
  <c r="W137" i="3" l="1"/>
  <c r="L137" i="3"/>
  <c r="AH138" i="3" l="1"/>
  <c r="U137" i="3"/>
  <c r="E138" i="3" s="1"/>
  <c r="H138" i="3" s="1"/>
  <c r="AG138" i="3"/>
  <c r="Y136" i="3"/>
  <c r="D138" i="3" l="1"/>
  <c r="F138" i="3" s="1"/>
  <c r="K138" i="3"/>
  <c r="G138" i="3" l="1"/>
  <c r="M138" i="3" s="1"/>
  <c r="N138" i="3" s="1"/>
  <c r="V138" i="3"/>
  <c r="AE138" i="3"/>
  <c r="I138" i="3" l="1"/>
  <c r="W138" i="3" s="1"/>
  <c r="J138" i="3"/>
  <c r="L138" i="3" s="1"/>
  <c r="U138" i="3" l="1"/>
  <c r="E139" i="3" s="1"/>
  <c r="H139" i="3" s="1"/>
  <c r="AG139" i="3"/>
  <c r="AH139" i="3"/>
  <c r="Y137" i="3"/>
  <c r="D139" i="3" l="1"/>
  <c r="G139" i="3" s="1"/>
  <c r="K139" i="3"/>
  <c r="F139" i="3" l="1"/>
  <c r="V139" i="3"/>
  <c r="AE139" i="3"/>
  <c r="I139" i="3"/>
  <c r="J139" i="3"/>
  <c r="M139" i="3"/>
  <c r="N139" i="3" s="1"/>
  <c r="W139" i="3" l="1"/>
  <c r="L139" i="3"/>
  <c r="AG140" i="3" l="1"/>
  <c r="U139" i="3"/>
  <c r="E140" i="3" s="1"/>
  <c r="H140" i="3" s="1"/>
  <c r="AH140" i="3"/>
  <c r="Y138" i="3"/>
  <c r="D140" i="3" l="1"/>
  <c r="G140" i="3" s="1"/>
  <c r="K140" i="3"/>
  <c r="F140" i="3" l="1"/>
  <c r="V140" i="3"/>
  <c r="AE140" i="3"/>
  <c r="I140" i="3"/>
  <c r="J140" i="3"/>
  <c r="M140" i="3"/>
  <c r="N140" i="3" s="1"/>
  <c r="W140" i="3" l="1"/>
  <c r="L140" i="3"/>
  <c r="AG141" i="3" l="1"/>
  <c r="U140" i="3"/>
  <c r="D141" i="3" s="1"/>
  <c r="AH141" i="3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U141" i="3" l="1"/>
  <c r="D142" i="3" s="1"/>
  <c r="AH142" i="3"/>
  <c r="AG142" i="3"/>
  <c r="Y140" i="3"/>
  <c r="E142" i="3" l="1"/>
  <c r="H142" i="3" s="1"/>
  <c r="K142" i="3" s="1"/>
  <c r="G142" i="3"/>
  <c r="F142" i="3" l="1"/>
  <c r="V142" i="3"/>
  <c r="AE142" i="3"/>
  <c r="I142" i="3"/>
  <c r="J142" i="3"/>
  <c r="M142" i="3"/>
  <c r="N142" i="3" s="1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M143" i="3" s="1"/>
  <c r="N143" i="3" s="1"/>
  <c r="V143" i="3"/>
  <c r="AE143" i="3"/>
  <c r="J143" i="3" l="1"/>
  <c r="L143" i="3" s="1"/>
  <c r="I143" i="3"/>
  <c r="W143" i="3" s="1"/>
  <c r="U143" i="3" l="1"/>
  <c r="D144" i="3" s="1"/>
  <c r="AG144" i="3"/>
  <c r="AH144" i="3"/>
  <c r="Y142" i="3"/>
  <c r="E144" i="3" l="1"/>
  <c r="H144" i="3" s="1"/>
  <c r="K144" i="3" s="1"/>
  <c r="G144" i="3"/>
  <c r="F144" i="3" l="1"/>
  <c r="V144" i="3"/>
  <c r="AE144" i="3"/>
  <c r="I144" i="3"/>
  <c r="J144" i="3"/>
  <c r="M144" i="3"/>
  <c r="N144" i="3" s="1"/>
  <c r="W144" i="3" l="1"/>
  <c r="L144" i="3"/>
  <c r="AH145" i="3" l="1"/>
  <c r="AG145" i="3"/>
  <c r="U144" i="3"/>
  <c r="D145" i="3" s="1"/>
  <c r="Y143" i="3"/>
  <c r="E145" i="3" l="1"/>
  <c r="H145" i="3" s="1"/>
  <c r="K145" i="3" s="1"/>
  <c r="G145" i="3"/>
  <c r="F145" i="3" l="1"/>
  <c r="I145" i="3"/>
  <c r="J145" i="3"/>
  <c r="M145" i="3"/>
  <c r="N145" i="3" s="1"/>
  <c r="V145" i="3"/>
  <c r="AE145" i="3"/>
  <c r="W145" i="3" l="1"/>
  <c r="L145" i="3"/>
  <c r="U145" i="3" l="1"/>
  <c r="D146" i="3" s="1"/>
  <c r="AH146" i="3"/>
  <c r="AG146" i="3"/>
  <c r="Y144" i="3"/>
  <c r="E146" i="3" l="1"/>
  <c r="H146" i="3" s="1"/>
  <c r="K146" i="3" s="1"/>
  <c r="G146" i="3"/>
  <c r="F146" i="3" l="1"/>
  <c r="I146" i="3"/>
  <c r="J146" i="3"/>
  <c r="M146" i="3"/>
  <c r="N146" i="3" s="1"/>
  <c r="V146" i="3"/>
  <c r="AE146" i="3"/>
  <c r="W146" i="3" l="1"/>
  <c r="L146" i="3"/>
  <c r="U146" i="3" l="1"/>
  <c r="D147" i="3" s="1"/>
  <c r="AG147" i="3"/>
  <c r="AH147" i="3"/>
  <c r="Y145" i="3"/>
  <c r="E147" i="3" l="1"/>
  <c r="H147" i="3" s="1"/>
  <c r="K147" i="3" s="1"/>
  <c r="G147" i="3"/>
  <c r="F147" i="3" l="1"/>
  <c r="V147" i="3"/>
  <c r="AE147" i="3"/>
  <c r="I147" i="3"/>
  <c r="J147" i="3"/>
  <c r="M147" i="3"/>
  <c r="N147" i="3" s="1"/>
  <c r="W147" i="3" l="1"/>
  <c r="L147" i="3"/>
  <c r="AG148" i="3" l="1"/>
  <c r="U147" i="3"/>
  <c r="E148" i="3" s="1"/>
  <c r="H148" i="3" s="1"/>
  <c r="AH148" i="3"/>
  <c r="Y146" i="3"/>
  <c r="K148" i="3" l="1"/>
  <c r="D148" i="3"/>
  <c r="V148" i="3" l="1"/>
  <c r="AE148" i="3"/>
  <c r="F148" i="3"/>
  <c r="G148" i="3"/>
  <c r="I148" i="3" l="1"/>
  <c r="W148" i="3" s="1"/>
  <c r="J148" i="3"/>
  <c r="M148" i="3"/>
  <c r="N148" i="3" s="1"/>
  <c r="L148" i="3" l="1"/>
  <c r="AG149" i="3" l="1"/>
  <c r="U148" i="3"/>
  <c r="D149" i="3" s="1"/>
  <c r="AH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AE149" i="3"/>
  <c r="W149" i="3" l="1"/>
  <c r="L149" i="3"/>
  <c r="AH150" i="3" l="1"/>
  <c r="U149" i="3"/>
  <c r="D150" i="3" s="1"/>
  <c r="AG150" i="3"/>
  <c r="Y148" i="3"/>
  <c r="E150" i="3" l="1"/>
  <c r="H150" i="3" s="1"/>
  <c r="K150" i="3" s="1"/>
  <c r="G150" i="3"/>
  <c r="F150" i="3" l="1"/>
  <c r="I150" i="3"/>
  <c r="J150" i="3"/>
  <c r="M150" i="3"/>
  <c r="N150" i="3" s="1"/>
  <c r="V150" i="3"/>
  <c r="AE150" i="3"/>
  <c r="W150" i="3" l="1"/>
  <c r="L150" i="3"/>
  <c r="AH151" i="3" l="1"/>
  <c r="U150" i="3"/>
  <c r="E151" i="3" s="1"/>
  <c r="H151" i="3" s="1"/>
  <c r="AG151" i="3"/>
  <c r="Y149" i="3"/>
  <c r="D151" i="3" l="1"/>
  <c r="G151" i="3" s="1"/>
  <c r="K151" i="3"/>
  <c r="F151" i="3" l="1"/>
  <c r="I151" i="3"/>
  <c r="J151" i="3"/>
  <c r="M151" i="3"/>
  <c r="N151" i="3" s="1"/>
  <c r="V151" i="3"/>
  <c r="AE151" i="3"/>
  <c r="W151" i="3" l="1"/>
  <c r="L151" i="3"/>
  <c r="AH152" i="3" l="1"/>
  <c r="AG152" i="3"/>
  <c r="U151" i="3"/>
  <c r="E152" i="3" s="1"/>
  <c r="H152" i="3" s="1"/>
  <c r="Y150" i="3"/>
  <c r="D152" i="3" l="1"/>
  <c r="G152" i="3" s="1"/>
  <c r="K152" i="3"/>
  <c r="F152" i="3" l="1"/>
  <c r="V152" i="3"/>
  <c r="AE152" i="3"/>
  <c r="I152" i="3"/>
  <c r="J152" i="3"/>
  <c r="M152" i="3"/>
  <c r="N152" i="3" s="1"/>
  <c r="W152" i="3" l="1"/>
  <c r="L152" i="3"/>
  <c r="AH153" i="3" l="1"/>
  <c r="U152" i="3"/>
  <c r="D153" i="3" s="1"/>
  <c r="AG153" i="3"/>
  <c r="Y151" i="3"/>
  <c r="G153" i="3" l="1"/>
  <c r="E153" i="3"/>
  <c r="H153" i="3" s="1"/>
  <c r="K153" i="3" l="1"/>
  <c r="I153" i="3"/>
  <c r="J153" i="3"/>
  <c r="M153" i="3"/>
  <c r="N153" i="3" s="1"/>
  <c r="F153" i="3"/>
  <c r="V153" i="3" l="1"/>
  <c r="W153" i="3" s="1"/>
  <c r="AE153" i="3"/>
  <c r="L153" i="3"/>
  <c r="U153" i="3" l="1"/>
  <c r="D154" i="3" s="1"/>
  <c r="AG154" i="3"/>
  <c r="AH154" i="3"/>
  <c r="Y152" i="3"/>
  <c r="E154" i="3" l="1"/>
  <c r="H154" i="3" s="1"/>
  <c r="K154" i="3" s="1"/>
  <c r="G154" i="3"/>
  <c r="F154" i="3" l="1"/>
  <c r="I154" i="3"/>
  <c r="J154" i="3"/>
  <c r="M154" i="3"/>
  <c r="N154" i="3" s="1"/>
  <c r="V154" i="3"/>
  <c r="AE154" i="3"/>
  <c r="L154" i="3" l="1"/>
  <c r="W154" i="3"/>
  <c r="U154" i="3" l="1"/>
  <c r="E155" i="3" s="1"/>
  <c r="H155" i="3" s="1"/>
  <c r="AH155" i="3"/>
  <c r="AG155" i="3"/>
  <c r="Y153" i="3"/>
  <c r="D155" i="3" l="1"/>
  <c r="G155" i="3" s="1"/>
  <c r="K155" i="3"/>
  <c r="F155" i="3" l="1"/>
  <c r="V155" i="3"/>
  <c r="AE155" i="3"/>
  <c r="I155" i="3"/>
  <c r="J155" i="3"/>
  <c r="M155" i="3"/>
  <c r="N155" i="3" s="1"/>
  <c r="W155" i="3" l="1"/>
  <c r="L155" i="3"/>
  <c r="AG156" i="3" l="1"/>
  <c r="U155" i="3"/>
  <c r="D156" i="3" s="1"/>
  <c r="AH156" i="3"/>
  <c r="Y154" i="3"/>
  <c r="E156" i="3" l="1"/>
  <c r="H156" i="3" s="1"/>
  <c r="K156" i="3" s="1"/>
  <c r="G156" i="3"/>
  <c r="F156" i="3" l="1"/>
  <c r="V156" i="3"/>
  <c r="AE156" i="3"/>
  <c r="I156" i="3"/>
  <c r="J156" i="3"/>
  <c r="M156" i="3"/>
  <c r="N156" i="3" s="1"/>
  <c r="W156" i="3" l="1"/>
  <c r="L156" i="3"/>
  <c r="U156" i="3" l="1"/>
  <c r="E157" i="3" s="1"/>
  <c r="H157" i="3" s="1"/>
  <c r="AH157" i="3"/>
  <c r="AG157" i="3"/>
  <c r="Y155" i="3"/>
  <c r="D157" i="3" l="1"/>
  <c r="G157" i="3" s="1"/>
  <c r="K157" i="3"/>
  <c r="F157" i="3" l="1"/>
  <c r="I157" i="3"/>
  <c r="J157" i="3"/>
  <c r="M157" i="3"/>
  <c r="N157" i="3" s="1"/>
  <c r="V157" i="3"/>
  <c r="AE157" i="3"/>
  <c r="W157" i="3" l="1"/>
  <c r="L157" i="3"/>
  <c r="U157" i="3" l="1"/>
  <c r="E158" i="3" s="1"/>
  <c r="H158" i="3" s="1"/>
  <c r="AH158" i="3"/>
  <c r="AG158" i="3"/>
  <c r="Y156" i="3"/>
  <c r="D158" i="3" l="1"/>
  <c r="F158" i="3" s="1"/>
  <c r="K158" i="3"/>
  <c r="G158" i="3" l="1"/>
  <c r="I158" i="3" s="1"/>
  <c r="V158" i="3"/>
  <c r="AE158" i="3"/>
  <c r="M158" i="3" l="1"/>
  <c r="N158" i="3" s="1"/>
  <c r="J158" i="3"/>
  <c r="L158" i="3" s="1"/>
  <c r="W158" i="3"/>
  <c r="U158" i="3" l="1"/>
  <c r="E159" i="3" s="1"/>
  <c r="H159" i="3" s="1"/>
  <c r="AG159" i="3"/>
  <c r="AH159" i="3"/>
  <c r="Y157" i="3"/>
  <c r="D159" i="3" l="1"/>
  <c r="F159" i="3" s="1"/>
  <c r="K159" i="3"/>
  <c r="G159" i="3" l="1"/>
  <c r="M159" i="3" s="1"/>
  <c r="N159" i="3" s="1"/>
  <c r="V159" i="3"/>
  <c r="AE159" i="3"/>
  <c r="I159" i="3" l="1"/>
  <c r="W159" i="3" s="1"/>
  <c r="J159" i="3"/>
  <c r="L159" i="3" s="1"/>
  <c r="AH160" i="3" l="1"/>
  <c r="U159" i="3"/>
  <c r="E160" i="3" s="1"/>
  <c r="H160" i="3" s="1"/>
  <c r="AG160" i="3"/>
  <c r="Y158" i="3"/>
  <c r="D160" i="3" l="1"/>
  <c r="G160" i="3" s="1"/>
  <c r="K160" i="3"/>
  <c r="F160" i="3" l="1"/>
  <c r="I160" i="3"/>
  <c r="J160" i="3"/>
  <c r="M160" i="3"/>
  <c r="N160" i="3" s="1"/>
  <c r="V160" i="3"/>
  <c r="AE160" i="3"/>
  <c r="W160" i="3" l="1"/>
  <c r="L160" i="3"/>
  <c r="AG161" i="3" l="1"/>
  <c r="AH161" i="3"/>
  <c r="U160" i="3"/>
  <c r="E161" i="3" s="1"/>
  <c r="H161" i="3" s="1"/>
  <c r="Y159" i="3"/>
  <c r="D161" i="3" l="1"/>
  <c r="G161" i="3" s="1"/>
  <c r="K161" i="3"/>
  <c r="F161" i="3" l="1"/>
  <c r="I161" i="3"/>
  <c r="J161" i="3"/>
  <c r="M161" i="3"/>
  <c r="N161" i="3" s="1"/>
  <c r="V161" i="3"/>
  <c r="AE161" i="3"/>
  <c r="W161" i="3" l="1"/>
  <c r="L161" i="3"/>
  <c r="U161" i="3" l="1"/>
  <c r="D162" i="3" s="1"/>
  <c r="AG162" i="3"/>
  <c r="AH162" i="3"/>
  <c r="Y160" i="3"/>
  <c r="G162" i="3" l="1"/>
  <c r="E162" i="3"/>
  <c r="H162" i="3" s="1"/>
  <c r="F162" i="3" l="1"/>
  <c r="I162" i="3"/>
  <c r="J162" i="3"/>
  <c r="M162" i="3"/>
  <c r="N162" i="3" s="1"/>
  <c r="K162" i="3"/>
  <c r="V162" i="3" l="1"/>
  <c r="W162" i="3" s="1"/>
  <c r="AE162" i="3"/>
  <c r="L162" i="3"/>
  <c r="U162" i="3" l="1"/>
  <c r="D163" i="3" s="1"/>
  <c r="AH163" i="3"/>
  <c r="AG163" i="3"/>
  <c r="Y161" i="3"/>
  <c r="E163" i="3" l="1"/>
  <c r="H163" i="3" s="1"/>
  <c r="K163" i="3" s="1"/>
  <c r="G163" i="3"/>
  <c r="F163" i="3" l="1"/>
  <c r="V163" i="3"/>
  <c r="AE163" i="3"/>
  <c r="I163" i="3"/>
  <c r="J163" i="3"/>
  <c r="M163" i="3"/>
  <c r="N163" i="3" s="1"/>
  <c r="W163" i="3" l="1"/>
  <c r="L163" i="3"/>
  <c r="AH164" i="3" l="1"/>
  <c r="U163" i="3"/>
  <c r="D164" i="3" s="1"/>
  <c r="AG164" i="3"/>
  <c r="Y162" i="3"/>
  <c r="E164" i="3" l="1"/>
  <c r="H164" i="3" s="1"/>
  <c r="K164" i="3" s="1"/>
  <c r="G164" i="3"/>
  <c r="F164" i="3" l="1"/>
  <c r="I164" i="3"/>
  <c r="J164" i="3"/>
  <c r="M164" i="3"/>
  <c r="N164" i="3" s="1"/>
  <c r="V164" i="3"/>
  <c r="AE164" i="3"/>
  <c r="W164" i="3" l="1"/>
  <c r="L164" i="3"/>
  <c r="U164" i="3" l="1"/>
  <c r="D165" i="3" s="1"/>
  <c r="AG165" i="3"/>
  <c r="AH165" i="3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H166" i="3" l="1"/>
  <c r="U165" i="3"/>
  <c r="E166" i="3" s="1"/>
  <c r="H166" i="3" s="1"/>
  <c r="AG166" i="3"/>
  <c r="Y164" i="3"/>
  <c r="D166" i="3" l="1"/>
  <c r="G166" i="3" s="1"/>
  <c r="K166" i="3"/>
  <c r="F166" i="3" l="1"/>
  <c r="I166" i="3"/>
  <c r="J166" i="3"/>
  <c r="M166" i="3"/>
  <c r="N166" i="3" s="1"/>
  <c r="V166" i="3"/>
  <c r="AE166" i="3"/>
  <c r="W166" i="3" l="1"/>
  <c r="L166" i="3"/>
  <c r="AH167" i="3" l="1"/>
  <c r="AG167" i="3"/>
  <c r="U166" i="3"/>
  <c r="E167" i="3" s="1"/>
  <c r="H167" i="3" s="1"/>
  <c r="Y165" i="3"/>
  <c r="K167" i="3" l="1"/>
  <c r="D167" i="3"/>
  <c r="V167" i="3" l="1"/>
  <c r="AE167" i="3"/>
  <c r="F167" i="3"/>
  <c r="G167" i="3"/>
  <c r="I167" i="3" l="1"/>
  <c r="W167" i="3" s="1"/>
  <c r="J167" i="3"/>
  <c r="M167" i="3"/>
  <c r="N167" i="3" s="1"/>
  <c r="L167" i="3" l="1"/>
  <c r="AH168" i="3" l="1"/>
  <c r="U167" i="3"/>
  <c r="E168" i="3" s="1"/>
  <c r="H168" i="3" s="1"/>
  <c r="AG168" i="3"/>
  <c r="Y166" i="3"/>
  <c r="D168" i="3" l="1"/>
  <c r="F168" i="3" s="1"/>
  <c r="K168" i="3"/>
  <c r="G168" i="3" l="1"/>
  <c r="I168" i="3" s="1"/>
  <c r="V168" i="3"/>
  <c r="AE168" i="3"/>
  <c r="M168" i="3" l="1"/>
  <c r="N168" i="3" s="1"/>
  <c r="J168" i="3"/>
  <c r="L168" i="3" s="1"/>
  <c r="W168" i="3"/>
  <c r="U168" i="3" l="1"/>
  <c r="E169" i="3" s="1"/>
  <c r="H169" i="3" s="1"/>
  <c r="AH169" i="3"/>
  <c r="AG169" i="3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H170" i="3" l="1"/>
  <c r="U169" i="3"/>
  <c r="E170" i="3" s="1"/>
  <c r="H170" i="3" s="1"/>
  <c r="AG170" i="3"/>
  <c r="Y168" i="3"/>
  <c r="D170" i="3" l="1"/>
  <c r="G170" i="3" s="1"/>
  <c r="K170" i="3"/>
  <c r="F170" i="3" l="1"/>
  <c r="I170" i="3"/>
  <c r="J170" i="3"/>
  <c r="M170" i="3"/>
  <c r="N170" i="3" s="1"/>
  <c r="V170" i="3"/>
  <c r="AE170" i="3"/>
  <c r="W170" i="3" l="1"/>
  <c r="L170" i="3"/>
  <c r="AG171" i="3" l="1"/>
  <c r="U170" i="3"/>
  <c r="E171" i="3" s="1"/>
  <c r="H171" i="3" s="1"/>
  <c r="AH171" i="3"/>
  <c r="Y169" i="3"/>
  <c r="K171" i="3" l="1"/>
  <c r="D171" i="3"/>
  <c r="F171" i="3" l="1"/>
  <c r="G171" i="3"/>
  <c r="V171" i="3"/>
  <c r="AE171" i="3"/>
  <c r="I171" i="3" l="1"/>
  <c r="W171" i="3" s="1"/>
  <c r="J171" i="3"/>
  <c r="M171" i="3"/>
  <c r="N171" i="3" s="1"/>
  <c r="L171" i="3" l="1"/>
  <c r="U171" i="3" l="1"/>
  <c r="E172" i="3" s="1"/>
  <c r="H172" i="3" s="1"/>
  <c r="AH172" i="3"/>
  <c r="AG172" i="3"/>
  <c r="Y170" i="3"/>
  <c r="K172" i="3" l="1"/>
  <c r="D172" i="3"/>
  <c r="V172" i="3" l="1"/>
  <c r="AE172" i="3"/>
  <c r="F172" i="3"/>
  <c r="G172" i="3"/>
  <c r="I172" i="3" l="1"/>
  <c r="W172" i="3" s="1"/>
  <c r="J172" i="3"/>
  <c r="M172" i="3"/>
  <c r="N172" i="3" s="1"/>
  <c r="L172" i="3" l="1"/>
  <c r="U172" i="3" l="1"/>
  <c r="E173" i="3" s="1"/>
  <c r="H173" i="3" s="1"/>
  <c r="AH173" i="3"/>
  <c r="AG173" i="3"/>
  <c r="Y171" i="3"/>
  <c r="D173" i="3" l="1"/>
  <c r="G173" i="3" s="1"/>
  <c r="K173" i="3"/>
  <c r="F173" i="3" l="1"/>
  <c r="I173" i="3"/>
  <c r="J173" i="3"/>
  <c r="M173" i="3"/>
  <c r="N173" i="3" s="1"/>
  <c r="V173" i="3"/>
  <c r="AE173" i="3"/>
  <c r="L173" i="3" l="1"/>
  <c r="W173" i="3"/>
  <c r="U173" i="3" l="1"/>
  <c r="E174" i="3" s="1"/>
  <c r="H174" i="3" s="1"/>
  <c r="AG174" i="3"/>
  <c r="AH174" i="3"/>
  <c r="Y172" i="3"/>
  <c r="D174" i="3" l="1"/>
  <c r="G174" i="3" s="1"/>
  <c r="K174" i="3"/>
  <c r="F174" i="3" l="1"/>
  <c r="V174" i="3"/>
  <c r="AE174" i="3"/>
  <c r="I174" i="3"/>
  <c r="J174" i="3"/>
  <c r="AD174" i="3" s="1"/>
  <c r="M174" i="3"/>
  <c r="N174" i="3" s="1"/>
  <c r="W174" i="3" l="1"/>
  <c r="L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E176" i="3" s="1"/>
  <c r="H176" i="3" s="1"/>
  <c r="AG176" i="3"/>
  <c r="AH176" i="3"/>
  <c r="Y174" i="3"/>
  <c r="D176" i="3" l="1"/>
  <c r="G176" i="3" s="1"/>
  <c r="K176" i="3"/>
  <c r="F176" i="3" l="1"/>
  <c r="I176" i="3"/>
  <c r="J176" i="3"/>
  <c r="M176" i="3"/>
  <c r="N176" i="3" s="1"/>
  <c r="V176" i="3"/>
  <c r="AE176" i="3"/>
  <c r="W176" i="3" l="1"/>
  <c r="L176" i="3"/>
  <c r="AH177" i="3" l="1"/>
  <c r="U176" i="3"/>
  <c r="D177" i="3" s="1"/>
  <c r="AG177" i="3"/>
  <c r="Y175" i="3"/>
  <c r="G177" i="3" l="1"/>
  <c r="E177" i="3"/>
  <c r="H177" i="3" s="1"/>
  <c r="F177" i="3" l="1"/>
  <c r="I177" i="3"/>
  <c r="J177" i="3"/>
  <c r="M177" i="3"/>
  <c r="N177" i="3" s="1"/>
  <c r="K177" i="3"/>
  <c r="V177" i="3" l="1"/>
  <c r="W177" i="3" s="1"/>
  <c r="AE177" i="3"/>
  <c r="L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E179" i="3" s="1"/>
  <c r="H179" i="3" s="1"/>
  <c r="AG179" i="3"/>
  <c r="AH179" i="3"/>
  <c r="Y177" i="3"/>
  <c r="D179" i="3" l="1"/>
  <c r="G179" i="3" s="1"/>
  <c r="K179" i="3"/>
  <c r="F179" i="3" l="1"/>
  <c r="V179" i="3"/>
  <c r="AE179" i="3"/>
  <c r="I179" i="3"/>
  <c r="J179" i="3"/>
  <c r="M179" i="3"/>
  <c r="N179" i="3" s="1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I180" i="3"/>
  <c r="J180" i="3"/>
  <c r="M180" i="3"/>
  <c r="N180" i="3" s="1"/>
  <c r="V180" i="3"/>
  <c r="AE180" i="3"/>
  <c r="L180" i="3" l="1"/>
  <c r="W180" i="3"/>
  <c r="U180" i="3" l="1"/>
  <c r="E181" i="3" s="1"/>
  <c r="H181" i="3" s="1"/>
  <c r="AH181" i="3"/>
  <c r="AG181" i="3"/>
  <c r="Y179" i="3"/>
  <c r="D181" i="3" l="1"/>
  <c r="G181" i="3" s="1"/>
  <c r="K181" i="3"/>
  <c r="F181" i="3" l="1"/>
  <c r="I181" i="3"/>
  <c r="J181" i="3"/>
  <c r="M181" i="3"/>
  <c r="N181" i="3" s="1"/>
  <c r="V181" i="3"/>
  <c r="AE181" i="3"/>
  <c r="W181" i="3" l="1"/>
  <c r="L181" i="3"/>
  <c r="AH182" i="3" l="1"/>
  <c r="U181" i="3"/>
  <c r="E182" i="3" s="1"/>
  <c r="H182" i="3" s="1"/>
  <c r="AG182" i="3"/>
  <c r="Y180" i="3"/>
  <c r="K182" i="3" l="1"/>
  <c r="D182" i="3"/>
  <c r="V182" i="3" l="1"/>
  <c r="AE182" i="3"/>
  <c r="F182" i="3"/>
  <c r="G182" i="3"/>
  <c r="I182" i="3" l="1"/>
  <c r="W182" i="3" s="1"/>
  <c r="J182" i="3"/>
  <c r="M182" i="3"/>
  <c r="N182" i="3" s="1"/>
  <c r="L182" i="3" l="1"/>
  <c r="U182" i="3" l="1"/>
  <c r="E183" i="3" s="1"/>
  <c r="H183" i="3" s="1"/>
  <c r="AH183" i="3"/>
  <c r="AG183" i="3"/>
  <c r="Y181" i="3"/>
  <c r="D183" i="3" l="1"/>
  <c r="G183" i="3" s="1"/>
  <c r="K183" i="3"/>
  <c r="F183" i="3" l="1"/>
  <c r="I183" i="3"/>
  <c r="J183" i="3"/>
  <c r="M183" i="3"/>
  <c r="N183" i="3" s="1"/>
  <c r="V183" i="3"/>
  <c r="AE183" i="3"/>
  <c r="W183" i="3" l="1"/>
  <c r="L183" i="3"/>
  <c r="U183" i="3" l="1"/>
  <c r="D184" i="3" s="1"/>
  <c r="AG184" i="3"/>
  <c r="AH184" i="3"/>
  <c r="Y182" i="3"/>
  <c r="G184" i="3" l="1"/>
  <c r="E184" i="3"/>
  <c r="H184" i="3" s="1"/>
  <c r="K184" i="3" l="1"/>
  <c r="I184" i="3"/>
  <c r="J184" i="3"/>
  <c r="M184" i="3"/>
  <c r="N184" i="3" s="1"/>
  <c r="F184" i="3"/>
  <c r="V184" i="3" l="1"/>
  <c r="W184" i="3" s="1"/>
  <c r="AE184" i="3"/>
  <c r="L184" i="3"/>
  <c r="AH185" i="3" l="1"/>
  <c r="AG185" i="3"/>
  <c r="U184" i="3"/>
  <c r="D185" i="3" s="1"/>
  <c r="Y183" i="3"/>
  <c r="E185" i="3" l="1"/>
  <c r="H185" i="3" s="1"/>
  <c r="K185" i="3" s="1"/>
  <c r="G185" i="3"/>
  <c r="F185" i="3" l="1"/>
  <c r="I185" i="3"/>
  <c r="J185" i="3"/>
  <c r="M185" i="3"/>
  <c r="N185" i="3" s="1"/>
  <c r="V185" i="3"/>
  <c r="AE185" i="3"/>
  <c r="W185" i="3" l="1"/>
  <c r="L185" i="3"/>
  <c r="U185" i="3" l="1"/>
  <c r="E186" i="3" s="1"/>
  <c r="H186" i="3" s="1"/>
  <c r="AH186" i="3"/>
  <c r="AG186" i="3"/>
  <c r="Y184" i="3"/>
  <c r="D186" i="3" l="1"/>
  <c r="G186" i="3" s="1"/>
  <c r="K186" i="3"/>
  <c r="F186" i="3" l="1"/>
  <c r="V186" i="3"/>
  <c r="AE186" i="3"/>
  <c r="I186" i="3"/>
  <c r="J186" i="3"/>
  <c r="M186" i="3"/>
  <c r="N186" i="3" s="1"/>
  <c r="L186" i="3" l="1"/>
  <c r="W186" i="3"/>
  <c r="AG187" i="3" l="1"/>
  <c r="AH187" i="3"/>
  <c r="U186" i="3"/>
  <c r="D187" i="3" s="1"/>
  <c r="Y185" i="3"/>
  <c r="G187" i="3" l="1"/>
  <c r="E187" i="3"/>
  <c r="H187" i="3" s="1"/>
  <c r="I187" i="3" l="1"/>
  <c r="J187" i="3"/>
  <c r="M187" i="3"/>
  <c r="N187" i="3" s="1"/>
  <c r="F187" i="3"/>
  <c r="K187" i="3"/>
  <c r="L187" i="3" l="1"/>
  <c r="V187" i="3"/>
  <c r="W187" i="3" s="1"/>
  <c r="AE187" i="3"/>
  <c r="AG188" i="3" l="1"/>
  <c r="U187" i="3"/>
  <c r="E188" i="3" s="1"/>
  <c r="H188" i="3" s="1"/>
  <c r="AH188" i="3"/>
  <c r="Y186" i="3"/>
  <c r="D188" i="3" l="1"/>
  <c r="G188" i="3" s="1"/>
  <c r="K188" i="3"/>
  <c r="F188" i="3" l="1"/>
  <c r="I188" i="3"/>
  <c r="J188" i="3"/>
  <c r="M188" i="3"/>
  <c r="N188" i="3" s="1"/>
  <c r="V188" i="3"/>
  <c r="AE188" i="3"/>
  <c r="W188" i="3" l="1"/>
  <c r="L188" i="3"/>
  <c r="U188" i="3" l="1"/>
  <c r="E189" i="3" s="1"/>
  <c r="H189" i="3" s="1"/>
  <c r="AH189" i="3"/>
  <c r="AG189" i="3"/>
  <c r="Y187" i="3"/>
  <c r="D189" i="3" l="1"/>
  <c r="G189" i="3" s="1"/>
  <c r="K189" i="3"/>
  <c r="F189" i="3" l="1"/>
  <c r="I189" i="3"/>
  <c r="J189" i="3"/>
  <c r="M189" i="3"/>
  <c r="N189" i="3" s="1"/>
  <c r="V189" i="3"/>
  <c r="AE189" i="3"/>
  <c r="W189" i="3" l="1"/>
  <c r="L189" i="3"/>
  <c r="AH190" i="3" l="1"/>
  <c r="U189" i="3"/>
  <c r="D190" i="3" s="1"/>
  <c r="AG190" i="3"/>
  <c r="Y188" i="3"/>
  <c r="G190" i="3" l="1"/>
  <c r="E190" i="3"/>
  <c r="H190" i="3" s="1"/>
  <c r="K190" i="3" l="1"/>
  <c r="I190" i="3"/>
  <c r="J190" i="3"/>
  <c r="M190" i="3"/>
  <c r="N190" i="3" s="1"/>
  <c r="F190" i="3"/>
  <c r="L190" i="3" l="1"/>
  <c r="V190" i="3"/>
  <c r="W190" i="3" s="1"/>
  <c r="AE190" i="3"/>
  <c r="AG191" i="3" l="1"/>
  <c r="U190" i="3"/>
  <c r="E191" i="3" s="1"/>
  <c r="H191" i="3" s="1"/>
  <c r="AH191" i="3"/>
  <c r="Y189" i="3"/>
  <c r="K191" i="3" l="1"/>
  <c r="D191" i="3"/>
  <c r="V191" i="3" l="1"/>
  <c r="AE191" i="3"/>
  <c r="F191" i="3"/>
  <c r="G191" i="3"/>
  <c r="I191" i="3" l="1"/>
  <c r="W191" i="3" s="1"/>
  <c r="J191" i="3"/>
  <c r="M191" i="3"/>
  <c r="N191" i="3" s="1"/>
  <c r="L191" i="3" l="1"/>
  <c r="AG192" i="3" l="1"/>
  <c r="U191" i="3"/>
  <c r="E192" i="3" s="1"/>
  <c r="H192" i="3" s="1"/>
  <c r="AH192" i="3"/>
  <c r="Y190" i="3"/>
  <c r="D192" i="3" l="1"/>
  <c r="G192" i="3" s="1"/>
  <c r="K192" i="3"/>
  <c r="F192" i="3" l="1"/>
  <c r="I192" i="3"/>
  <c r="J192" i="3"/>
  <c r="M192" i="3"/>
  <c r="N192" i="3" s="1"/>
  <c r="V192" i="3"/>
  <c r="AE192" i="3"/>
  <c r="W192" i="3" l="1"/>
  <c r="L192" i="3"/>
  <c r="U192" i="3" l="1"/>
  <c r="D193" i="3" s="1"/>
  <c r="AG193" i="3"/>
  <c r="AH193" i="3"/>
  <c r="Y191" i="3"/>
  <c r="G193" i="3" l="1"/>
  <c r="E193" i="3"/>
  <c r="H193" i="3" s="1"/>
  <c r="K193" i="3" l="1"/>
  <c r="I193" i="3"/>
  <c r="J193" i="3"/>
  <c r="M193" i="3"/>
  <c r="N193" i="3" s="1"/>
  <c r="F193" i="3"/>
  <c r="L193" i="3" l="1"/>
  <c r="V193" i="3"/>
  <c r="W193" i="3" s="1"/>
  <c r="AE193" i="3"/>
  <c r="AH194" i="3" l="1"/>
  <c r="AG194" i="3"/>
  <c r="U193" i="3"/>
  <c r="D194" i="3" s="1"/>
  <c r="Y192" i="3"/>
  <c r="E194" i="3" l="1"/>
  <c r="H194" i="3" s="1"/>
  <c r="K194" i="3" s="1"/>
  <c r="G194" i="3"/>
  <c r="F194" i="3" l="1"/>
  <c r="V194" i="3"/>
  <c r="AE194" i="3"/>
  <c r="I194" i="3"/>
  <c r="J194" i="3"/>
  <c r="M194" i="3"/>
  <c r="N194" i="3" s="1"/>
  <c r="W194" i="3" l="1"/>
  <c r="L194" i="3"/>
  <c r="U194" i="3" l="1"/>
  <c r="D195" i="3" s="1"/>
  <c r="AH195" i="3"/>
  <c r="AG195" i="3"/>
  <c r="Y193" i="3"/>
  <c r="E195" i="3" l="1"/>
  <c r="H195" i="3" s="1"/>
  <c r="K195" i="3" s="1"/>
  <c r="G195" i="3"/>
  <c r="F195" i="3" l="1"/>
  <c r="V195" i="3"/>
  <c r="AE195" i="3"/>
  <c r="I195" i="3"/>
  <c r="J195" i="3"/>
  <c r="M195" i="3"/>
  <c r="N195" i="3" s="1"/>
  <c r="W195" i="3" l="1"/>
  <c r="L195" i="3"/>
  <c r="AH196" i="3" l="1"/>
  <c r="U195" i="3"/>
  <c r="D196" i="3" s="1"/>
  <c r="AG196" i="3"/>
  <c r="Y194" i="3"/>
  <c r="E196" i="3" l="1"/>
  <c r="H196" i="3" s="1"/>
  <c r="K196" i="3" s="1"/>
  <c r="G196" i="3"/>
  <c r="F196" i="3" l="1"/>
  <c r="I196" i="3"/>
  <c r="J196" i="3"/>
  <c r="M196" i="3"/>
  <c r="N196" i="3" s="1"/>
  <c r="V196" i="3"/>
  <c r="AE196" i="3"/>
  <c r="L196" i="3" l="1"/>
  <c r="W196" i="3"/>
  <c r="U196" i="3" l="1"/>
  <c r="E197" i="3" s="1"/>
  <c r="H197" i="3" s="1"/>
  <c r="AG197" i="3"/>
  <c r="AH197" i="3"/>
  <c r="Y195" i="3"/>
  <c r="D197" i="3" l="1"/>
  <c r="G197" i="3" s="1"/>
  <c r="K197" i="3"/>
  <c r="F197" i="3" l="1"/>
  <c r="I197" i="3"/>
  <c r="J197" i="3"/>
  <c r="M197" i="3"/>
  <c r="N197" i="3" s="1"/>
  <c r="V197" i="3"/>
  <c r="AE197" i="3"/>
  <c r="W197" i="3" l="1"/>
  <c r="L197" i="3"/>
  <c r="AG198" i="3" l="1"/>
  <c r="AH198" i="3"/>
  <c r="U197" i="3"/>
  <c r="E198" i="3" s="1"/>
  <c r="H198" i="3" s="1"/>
  <c r="Y196" i="3"/>
  <c r="K198" i="3" l="1"/>
  <c r="D198" i="3"/>
  <c r="V198" i="3" l="1"/>
  <c r="AE198" i="3"/>
  <c r="F198" i="3"/>
  <c r="G198" i="3"/>
  <c r="I198" i="3" l="1"/>
  <c r="W198" i="3" s="1"/>
  <c r="J198" i="3"/>
  <c r="M198" i="3"/>
  <c r="N198" i="3" s="1"/>
  <c r="L198" i="3" l="1"/>
  <c r="AG199" i="3" l="1"/>
  <c r="U198" i="3"/>
  <c r="E199" i="3" s="1"/>
  <c r="H199" i="3" s="1"/>
  <c r="AH199" i="3"/>
  <c r="Y197" i="3"/>
  <c r="K199" i="3" l="1"/>
  <c r="D199" i="3"/>
  <c r="V199" i="3" l="1"/>
  <c r="AE199" i="3"/>
  <c r="F199" i="3"/>
  <c r="G199" i="3"/>
  <c r="I199" i="3" l="1"/>
  <c r="W199" i="3" s="1"/>
  <c r="J199" i="3"/>
  <c r="M199" i="3"/>
  <c r="N199" i="3" s="1"/>
  <c r="L199" i="3" l="1"/>
  <c r="AH200" i="3" l="1"/>
  <c r="AG200" i="3"/>
  <c r="U199" i="3"/>
  <c r="E200" i="3" s="1"/>
  <c r="H200" i="3" s="1"/>
  <c r="Y198" i="3"/>
  <c r="K200" i="3" l="1"/>
  <c r="D200" i="3"/>
  <c r="V200" i="3" l="1"/>
  <c r="AE200" i="3"/>
  <c r="F200" i="3"/>
  <c r="G200" i="3"/>
  <c r="I200" i="3" l="1"/>
  <c r="W200" i="3" s="1"/>
  <c r="J200" i="3"/>
  <c r="M200" i="3"/>
  <c r="N200" i="3" s="1"/>
  <c r="L200" i="3" l="1"/>
  <c r="AG201" i="3" l="1"/>
  <c r="U200" i="3"/>
  <c r="E201" i="3" s="1"/>
  <c r="H201" i="3" s="1"/>
  <c r="AH201" i="3"/>
  <c r="Y199" i="3"/>
  <c r="D201" i="3" l="1"/>
  <c r="G201" i="3" s="1"/>
  <c r="K201" i="3"/>
  <c r="F201" i="3" l="1"/>
  <c r="I201" i="3"/>
  <c r="J201" i="3"/>
  <c r="M201" i="3"/>
  <c r="N201" i="3" s="1"/>
  <c r="V201" i="3"/>
  <c r="AE201" i="3"/>
  <c r="W201" i="3" l="1"/>
  <c r="L201" i="3"/>
  <c r="U201" i="3" l="1"/>
  <c r="E202" i="3" s="1"/>
  <c r="H202" i="3" s="1"/>
  <c r="AG202" i="3"/>
  <c r="AH202" i="3"/>
  <c r="Y200" i="3"/>
  <c r="D202" i="3" l="1"/>
  <c r="G202" i="3" s="1"/>
  <c r="K202" i="3"/>
  <c r="F202" i="3" l="1"/>
  <c r="V202" i="3"/>
  <c r="AE202" i="3"/>
  <c r="I202" i="3"/>
  <c r="J202" i="3"/>
  <c r="M202" i="3"/>
  <c r="N202" i="3" s="1"/>
  <c r="W202" i="3" l="1"/>
  <c r="L202" i="3"/>
  <c r="U202" i="3" l="1"/>
  <c r="E203" i="3" s="1"/>
  <c r="H203" i="3" s="1"/>
  <c r="AH203" i="3"/>
  <c r="AG203" i="3"/>
  <c r="Y201" i="3"/>
  <c r="D203" i="3" l="1"/>
  <c r="G203" i="3" s="1"/>
  <c r="K203" i="3"/>
  <c r="A204" i="3" s="1"/>
  <c r="B204" i="3" s="1"/>
  <c r="Z204" i="3" l="1"/>
  <c r="P204" i="3"/>
  <c r="Q204" i="3" s="1"/>
  <c r="R204" i="3" s="1"/>
  <c r="S204" i="3" s="1"/>
  <c r="T204" i="3" s="1"/>
  <c r="AA204" i="3"/>
  <c r="AC204" i="3"/>
  <c r="F203" i="3"/>
  <c r="I203" i="3"/>
  <c r="J203" i="3"/>
  <c r="M203" i="3"/>
  <c r="N203" i="3" s="1"/>
  <c r="V203" i="3"/>
  <c r="AE203" i="3"/>
  <c r="W203" i="3" l="1"/>
  <c r="L203" i="3"/>
  <c r="U203" i="3" l="1"/>
  <c r="E204" i="3" s="1"/>
  <c r="H204" i="3" s="1"/>
  <c r="AH204" i="3"/>
  <c r="AG204" i="3"/>
  <c r="Y202" i="3"/>
  <c r="D204" i="3" l="1"/>
  <c r="G204" i="3" s="1"/>
  <c r="K204" i="3"/>
  <c r="F204" i="3" l="1"/>
  <c r="I204" i="3"/>
  <c r="J204" i="3"/>
  <c r="M204" i="3"/>
  <c r="N204" i="3" s="1"/>
  <c r="V204" i="3"/>
  <c r="A205" i="3"/>
  <c r="B205" i="3" s="1"/>
  <c r="AE204" i="3"/>
  <c r="W204" i="3" l="1"/>
  <c r="L204" i="3"/>
  <c r="AD204" i="3"/>
  <c r="AC205" i="3"/>
  <c r="P205" i="3"/>
  <c r="Q205" i="3" s="1"/>
  <c r="R205" i="3" s="1"/>
  <c r="S205" i="3" s="1"/>
  <c r="Z205" i="3"/>
  <c r="AA205" i="3"/>
  <c r="AD205" i="3"/>
  <c r="U204" i="3" l="1"/>
  <c r="Y203" i="3"/>
  <c r="T205" i="3"/>
  <c r="AH205" i="3" s="1"/>
  <c r="E205" i="3" l="1"/>
  <c r="H205" i="3" s="1"/>
  <c r="D205" i="3"/>
  <c r="AG205" i="3"/>
  <c r="K205" i="3" l="1"/>
  <c r="F205" i="3"/>
  <c r="G205" i="3"/>
  <c r="V205" i="3" l="1"/>
  <c r="A206" i="3"/>
  <c r="B206" i="3" s="1"/>
  <c r="AE205" i="3"/>
  <c r="I205" i="3"/>
  <c r="J205" i="3"/>
  <c r="M205" i="3"/>
  <c r="N205" i="3" s="1"/>
  <c r="W205" i="3" l="1"/>
  <c r="L205" i="3"/>
  <c r="AC206" i="3"/>
  <c r="P206" i="3"/>
  <c r="Q206" i="3" s="1"/>
  <c r="R206" i="3" s="1"/>
  <c r="S206" i="3" s="1"/>
  <c r="Z206" i="3"/>
  <c r="AA206" i="3"/>
  <c r="AD206" i="3"/>
  <c r="T206" i="3" l="1"/>
  <c r="AH206" i="3" s="1"/>
  <c r="U205" i="3"/>
  <c r="Y204" i="3"/>
  <c r="AG206" i="3" l="1"/>
  <c r="D206" i="3"/>
  <c r="E206" i="3"/>
  <c r="H206" i="3" s="1"/>
  <c r="F206" i="3" l="1"/>
  <c r="G206" i="3"/>
  <c r="K206" i="3"/>
  <c r="I206" i="3" l="1"/>
  <c r="J206" i="3"/>
  <c r="M206" i="3"/>
  <c r="N206" i="3" s="1"/>
  <c r="V206" i="3"/>
  <c r="A207" i="3"/>
  <c r="B207" i="3" s="1"/>
  <c r="AE206" i="3"/>
  <c r="W206" i="3" l="1"/>
  <c r="L206" i="3"/>
  <c r="P207" i="3"/>
  <c r="Q207" i="3" s="1"/>
  <c r="R207" i="3" s="1"/>
  <c r="S207" i="3" s="1"/>
  <c r="AC207" i="3"/>
  <c r="Z207" i="3"/>
  <c r="AA207" i="3"/>
  <c r="T207" i="3" l="1"/>
  <c r="U206" i="3"/>
  <c r="Y205" i="3"/>
  <c r="D207" i="3" l="1"/>
  <c r="G207" i="3" s="1"/>
  <c r="AH207" i="3"/>
  <c r="E207" i="3"/>
  <c r="H207" i="3" s="1"/>
  <c r="AG207" i="3"/>
  <c r="F207" i="3" l="1"/>
  <c r="I207" i="3"/>
  <c r="J207" i="3"/>
  <c r="AD207" i="3" s="1"/>
  <c r="M207" i="3"/>
  <c r="N207" i="3" s="1"/>
  <c r="K207" i="3"/>
  <c r="V207" i="3" l="1"/>
  <c r="W207" i="3" s="1"/>
  <c r="AE207" i="3"/>
  <c r="A208" i="3"/>
  <c r="B208" i="3" s="1"/>
  <c r="L207" i="3"/>
  <c r="Z208" i="3" l="1"/>
  <c r="AC208" i="3"/>
  <c r="AA208" i="3"/>
  <c r="P208" i="3"/>
  <c r="Q208" i="3" s="1"/>
  <c r="R208" i="3" s="1"/>
  <c r="S208" i="3" s="1"/>
  <c r="AD208" i="3"/>
  <c r="U207" i="3"/>
  <c r="Y206" i="3"/>
  <c r="T208" i="3" l="1"/>
  <c r="AG208" i="3" s="1"/>
  <c r="AH208" i="3" l="1"/>
  <c r="D208" i="3"/>
  <c r="G208" i="3" s="1"/>
  <c r="E208" i="3"/>
  <c r="H208" i="3" s="1"/>
  <c r="K208" i="3" s="1"/>
  <c r="F208" i="3" l="1"/>
  <c r="I208" i="3"/>
  <c r="J208" i="3"/>
  <c r="M208" i="3"/>
  <c r="N208" i="3" s="1"/>
  <c r="V208" i="3"/>
  <c r="A209" i="3"/>
  <c r="B209" i="3" s="1"/>
  <c r="AE208" i="3"/>
  <c r="W208" i="3" l="1"/>
  <c r="L208" i="3"/>
  <c r="P209" i="3"/>
  <c r="Q209" i="3" s="1"/>
  <c r="R209" i="3" s="1"/>
  <c r="S209" i="3" s="1"/>
  <c r="AC209" i="3"/>
  <c r="AD209" i="3"/>
  <c r="AA209" i="3"/>
  <c r="Z209" i="3"/>
  <c r="U208" i="3" l="1"/>
  <c r="Y207" i="3"/>
  <c r="T209" i="3"/>
  <c r="AH209" i="3" s="1"/>
  <c r="AG209" i="3" l="1"/>
  <c r="D209" i="3"/>
  <c r="G209" i="3" s="1"/>
  <c r="E209" i="3"/>
  <c r="H209" i="3" s="1"/>
  <c r="F209" i="3" l="1"/>
  <c r="K209" i="3"/>
  <c r="I209" i="3"/>
  <c r="J209" i="3"/>
  <c r="M209" i="3"/>
  <c r="N209" i="3" s="1"/>
  <c r="L209" i="3" l="1"/>
  <c r="V209" i="3"/>
  <c r="W209" i="3" s="1"/>
  <c r="A210" i="3"/>
  <c r="B210" i="3" s="1"/>
  <c r="AE209" i="3"/>
  <c r="AC210" i="3" l="1"/>
  <c r="Z210" i="3"/>
  <c r="P210" i="3"/>
  <c r="Q210" i="3" s="1"/>
  <c r="R210" i="3" s="1"/>
  <c r="S210" i="3" s="1"/>
  <c r="AA210" i="3"/>
  <c r="AD210" i="3"/>
  <c r="U209" i="3"/>
  <c r="Y208" i="3"/>
  <c r="T210" i="3" l="1"/>
  <c r="AG210" i="3" s="1"/>
  <c r="AH210" i="3" l="1"/>
  <c r="D210" i="3"/>
  <c r="E210" i="3"/>
  <c r="H210" i="3" s="1"/>
  <c r="F210" i="3" l="1"/>
  <c r="G210" i="3"/>
  <c r="K210" i="3"/>
  <c r="V210" i="3" l="1"/>
  <c r="AE210" i="3"/>
  <c r="A211" i="3"/>
  <c r="B211" i="3" s="1"/>
  <c r="I210" i="3"/>
  <c r="J210" i="3"/>
  <c r="M210" i="3"/>
  <c r="N210" i="3" s="1"/>
  <c r="W210" i="3" l="1"/>
  <c r="AC211" i="3"/>
  <c r="Z211" i="3"/>
  <c r="P211" i="3"/>
  <c r="Q211" i="3" s="1"/>
  <c r="R211" i="3" s="1"/>
  <c r="S211" i="3" s="1"/>
  <c r="AA211" i="3"/>
  <c r="L210" i="3"/>
  <c r="T211" i="3" l="1"/>
  <c r="AG211" i="3" s="1"/>
  <c r="U210" i="3"/>
  <c r="Y209" i="3"/>
  <c r="E211" i="3" l="1"/>
  <c r="H211" i="3" s="1"/>
  <c r="D211" i="3"/>
  <c r="AH211" i="3"/>
  <c r="K211" i="3" l="1"/>
  <c r="F211" i="3"/>
  <c r="G211" i="3"/>
  <c r="I211" i="3" l="1"/>
  <c r="J211" i="3"/>
  <c r="AD211" i="3" s="1"/>
  <c r="M211" i="3"/>
  <c r="N211" i="3" s="1"/>
  <c r="V211" i="3"/>
  <c r="AE211" i="3"/>
  <c r="A212" i="3"/>
  <c r="B212" i="3" s="1"/>
  <c r="W211" i="3" l="1"/>
  <c r="AA212" i="3"/>
  <c r="Z212" i="3"/>
  <c r="P212" i="3"/>
  <c r="Q212" i="3" s="1"/>
  <c r="R212" i="3" s="1"/>
  <c r="S212" i="3" s="1"/>
  <c r="AC212" i="3"/>
  <c r="AD212" i="3"/>
  <c r="L211" i="3"/>
  <c r="U211" i="3" l="1"/>
  <c r="Y210" i="3"/>
  <c r="T212" i="3"/>
  <c r="E212" i="3" l="1"/>
  <c r="H212" i="3" s="1"/>
  <c r="K212" i="3" s="1"/>
  <c r="AH212" i="3"/>
  <c r="AG212" i="3"/>
  <c r="D212" i="3"/>
  <c r="F212" i="3" l="1"/>
  <c r="G212" i="3"/>
  <c r="V212" i="3"/>
  <c r="A213" i="3"/>
  <c r="B213" i="3" s="1"/>
  <c r="AE212" i="3"/>
  <c r="AD213" i="3" l="1"/>
  <c r="AC213" i="3"/>
  <c r="P213" i="3"/>
  <c r="Q213" i="3" s="1"/>
  <c r="R213" i="3" s="1"/>
  <c r="S213" i="3" s="1"/>
  <c r="AA213" i="3"/>
  <c r="Z213" i="3"/>
  <c r="I212" i="3"/>
  <c r="W212" i="3" s="1"/>
  <c r="J212" i="3"/>
  <c r="M212" i="3"/>
  <c r="N212" i="3" s="1"/>
  <c r="T213" i="3" l="1"/>
  <c r="L212" i="3"/>
  <c r="U212" i="3" l="1"/>
  <c r="E213" i="3" s="1"/>
  <c r="H213" i="3" s="1"/>
  <c r="AH213" i="3"/>
  <c r="AG213" i="3"/>
  <c r="Y211" i="3"/>
  <c r="D213" i="3" l="1"/>
  <c r="G213" i="3" s="1"/>
  <c r="K213" i="3"/>
  <c r="F213" i="3" l="1"/>
  <c r="I213" i="3"/>
  <c r="J213" i="3"/>
  <c r="M213" i="3"/>
  <c r="N213" i="3" s="1"/>
  <c r="V213" i="3"/>
  <c r="A214" i="3"/>
  <c r="B214" i="3" s="1"/>
  <c r="AE213" i="3"/>
  <c r="W213" i="3" l="1"/>
  <c r="L213" i="3"/>
  <c r="P214" i="3"/>
  <c r="Q214" i="3" s="1"/>
  <c r="R214" i="3" s="1"/>
  <c r="S214" i="3" s="1"/>
  <c r="AC214" i="3"/>
  <c r="AA214" i="3"/>
  <c r="Z214" i="3"/>
  <c r="U213" i="3" l="1"/>
  <c r="Y212" i="3"/>
  <c r="T214" i="3"/>
  <c r="D214" i="3" l="1"/>
  <c r="G214" i="3" s="1"/>
  <c r="E214" i="3"/>
  <c r="H214" i="3" s="1"/>
  <c r="AG214" i="3"/>
  <c r="AH214" i="3"/>
  <c r="F214" i="3" l="1"/>
  <c r="I214" i="3"/>
  <c r="J214" i="3"/>
  <c r="M214" i="3"/>
  <c r="N214" i="3" s="1"/>
  <c r="K214" i="3"/>
  <c r="AE214" i="3" s="1"/>
  <c r="V214" i="3" l="1"/>
  <c r="W214" i="3" s="1"/>
  <c r="A215" i="3"/>
  <c r="B215" i="3" s="1"/>
  <c r="L214" i="3"/>
  <c r="AD214" i="3"/>
  <c r="U214" i="3" l="1"/>
  <c r="Y213" i="3"/>
  <c r="AC215" i="3"/>
  <c r="AD215" i="3"/>
  <c r="Z215" i="3"/>
  <c r="P215" i="3"/>
  <c r="Q215" i="3" s="1"/>
  <c r="R215" i="3" s="1"/>
  <c r="S215" i="3" s="1"/>
  <c r="AA215" i="3"/>
  <c r="T215" i="3" l="1"/>
  <c r="AH215" i="3" s="1"/>
  <c r="D215" i="3" l="1"/>
  <c r="G215" i="3" s="1"/>
  <c r="E215" i="3"/>
  <c r="H215" i="3" s="1"/>
  <c r="K215" i="3" s="1"/>
  <c r="AE215" i="3" s="1"/>
  <c r="AG215" i="3"/>
  <c r="F215" i="3" l="1"/>
  <c r="V215" i="3"/>
  <c r="A216" i="3"/>
  <c r="B216" i="3" s="1"/>
  <c r="I215" i="3"/>
  <c r="J215" i="3"/>
  <c r="M215" i="3"/>
  <c r="N215" i="3" s="1"/>
  <c r="W215" i="3" l="1"/>
  <c r="L215" i="3"/>
  <c r="P216" i="3"/>
  <c r="Q216" i="3" s="1"/>
  <c r="R216" i="3" s="1"/>
  <c r="S216" i="3" s="1"/>
  <c r="Z216" i="3"/>
  <c r="AC216" i="3"/>
  <c r="AD216" i="3"/>
  <c r="AA216" i="3"/>
  <c r="U215" i="3" l="1"/>
  <c r="Y214" i="3"/>
  <c r="T216" i="3"/>
  <c r="AH216" i="3" s="1"/>
  <c r="D216" i="3" l="1"/>
  <c r="G216" i="3" s="1"/>
  <c r="AG216" i="3"/>
  <c r="E216" i="3"/>
  <c r="H216" i="3" s="1"/>
  <c r="K216" i="3" l="1"/>
  <c r="AE216" i="3" s="1"/>
  <c r="I216" i="3"/>
  <c r="J216" i="3"/>
  <c r="M216" i="3"/>
  <c r="N216" i="3" s="1"/>
  <c r="F216" i="3"/>
  <c r="V216" i="3" l="1"/>
  <c r="W216" i="3" s="1"/>
  <c r="A217" i="3"/>
  <c r="B217" i="3" s="1"/>
  <c r="L216" i="3"/>
  <c r="U216" i="3" l="1"/>
  <c r="Y215" i="3"/>
  <c r="P217" i="3"/>
  <c r="Q217" i="3" s="1"/>
  <c r="R217" i="3" s="1"/>
  <c r="S217" i="3" s="1"/>
  <c r="AC217" i="3"/>
  <c r="AA217" i="3"/>
  <c r="Z217" i="3"/>
  <c r="T217" i="3" l="1"/>
  <c r="D217" i="3" s="1"/>
  <c r="G217" i="3" l="1"/>
  <c r="AG217" i="3"/>
  <c r="AH217" i="3"/>
  <c r="E217" i="3"/>
  <c r="H217" i="3" s="1"/>
  <c r="I217" i="3" l="1"/>
  <c r="J217" i="3"/>
  <c r="AD217" i="3" s="1"/>
  <c r="M217" i="3"/>
  <c r="N217" i="3" s="1"/>
  <c r="K217" i="3"/>
  <c r="AE217" i="3" s="1"/>
  <c r="F217" i="3"/>
  <c r="V217" i="3" l="1"/>
  <c r="W217" i="3" s="1"/>
  <c r="A218" i="3"/>
  <c r="B218" i="3" s="1"/>
  <c r="L217" i="3"/>
  <c r="U217" i="3" l="1"/>
  <c r="Y216" i="3"/>
  <c r="AC218" i="3"/>
  <c r="AA218" i="3"/>
  <c r="Z218" i="3"/>
  <c r="P218" i="3"/>
  <c r="Q218" i="3" s="1"/>
  <c r="R218" i="3" s="1"/>
  <c r="S218" i="3" s="1"/>
  <c r="AD218" i="3"/>
  <c r="T218" i="3" l="1"/>
  <c r="AG218" i="3" s="1"/>
  <c r="AH218" i="3" l="1"/>
  <c r="E218" i="3"/>
  <c r="H218" i="3" s="1"/>
  <c r="K218" i="3" s="1"/>
  <c r="AE218" i="3" s="1"/>
  <c r="D218" i="3"/>
  <c r="G218" i="3" s="1"/>
  <c r="F218" i="3" l="1"/>
  <c r="I218" i="3"/>
  <c r="J218" i="3"/>
  <c r="M218" i="3"/>
  <c r="N218" i="3" s="1"/>
  <c r="V218" i="3"/>
  <c r="A219" i="3"/>
  <c r="B219" i="3" s="1"/>
  <c r="W218" i="3" l="1"/>
  <c r="L218" i="3"/>
  <c r="P219" i="3"/>
  <c r="Q219" i="3" s="1"/>
  <c r="R219" i="3" s="1"/>
  <c r="S219" i="3" s="1"/>
  <c r="AD219" i="3"/>
  <c r="AC219" i="3"/>
  <c r="AA219" i="3"/>
  <c r="Z219" i="3"/>
  <c r="U218" i="3" l="1"/>
  <c r="Y217" i="3"/>
  <c r="T219" i="3"/>
  <c r="AG219" i="3" s="1"/>
  <c r="D219" i="3" l="1"/>
  <c r="E219" i="3"/>
  <c r="H219" i="3" s="1"/>
  <c r="AH219" i="3"/>
  <c r="F219" i="3" l="1"/>
  <c r="G219" i="3"/>
  <c r="K219" i="3"/>
  <c r="AE219" i="3" s="1"/>
  <c r="I219" i="3" l="1"/>
  <c r="J219" i="3"/>
  <c r="M219" i="3"/>
  <c r="N219" i="3" s="1"/>
  <c r="V219" i="3"/>
  <c r="A220" i="3"/>
  <c r="B220" i="3" s="1"/>
  <c r="W219" i="3" l="1"/>
  <c r="L219" i="3"/>
  <c r="AC220" i="3"/>
  <c r="AD220" i="3"/>
  <c r="Z220" i="3"/>
  <c r="P220" i="3"/>
  <c r="Q220" i="3" s="1"/>
  <c r="R220" i="3" s="1"/>
  <c r="S220" i="3" s="1"/>
  <c r="AA220" i="3"/>
  <c r="U219" i="3" l="1"/>
  <c r="Y218" i="3"/>
  <c r="T220" i="3"/>
  <c r="E220" i="3" l="1"/>
  <c r="H220" i="3" s="1"/>
  <c r="K220" i="3" s="1"/>
  <c r="AE220" i="3" s="1"/>
  <c r="D220" i="3"/>
  <c r="G220" i="3" s="1"/>
  <c r="AG220" i="3"/>
  <c r="AH220" i="3"/>
  <c r="F220" i="3" l="1"/>
  <c r="I220" i="3"/>
  <c r="J220" i="3"/>
  <c r="M220" i="3"/>
  <c r="N220" i="3" s="1"/>
  <c r="V220" i="3"/>
  <c r="A221" i="3"/>
  <c r="B221" i="3" s="1"/>
  <c r="W220" i="3" l="1"/>
  <c r="L220" i="3"/>
  <c r="AA221" i="3"/>
  <c r="AC221" i="3"/>
  <c r="P221" i="3"/>
  <c r="Q221" i="3" s="1"/>
  <c r="R221" i="3" s="1"/>
  <c r="S221" i="3" s="1"/>
  <c r="Z221" i="3"/>
  <c r="T221" i="3" l="1"/>
  <c r="U220" i="3"/>
  <c r="Y219" i="3"/>
  <c r="D221" i="3" l="1"/>
  <c r="G221" i="3" s="1"/>
  <c r="AH221" i="3"/>
  <c r="AG221" i="3"/>
  <c r="E221" i="3"/>
  <c r="H221" i="3" s="1"/>
  <c r="K221" i="3" l="1"/>
  <c r="AE221" i="3" s="1"/>
  <c r="I221" i="3"/>
  <c r="J221" i="3"/>
  <c r="AD221" i="3" s="1"/>
  <c r="M221" i="3"/>
  <c r="N221" i="3" s="1"/>
  <c r="F221" i="3"/>
  <c r="L221" i="3" l="1"/>
  <c r="V221" i="3"/>
  <c r="W221" i="3" s="1"/>
  <c r="A222" i="3"/>
  <c r="B222" i="3" s="1"/>
  <c r="P222" i="3" l="1"/>
  <c r="Q222" i="3" s="1"/>
  <c r="R222" i="3" s="1"/>
  <c r="S222" i="3" s="1"/>
  <c r="AC222" i="3"/>
  <c r="Z222" i="3"/>
  <c r="AA222" i="3"/>
  <c r="AD222" i="3"/>
  <c r="U221" i="3"/>
  <c r="Y220" i="3"/>
  <c r="T222" i="3" l="1"/>
  <c r="AH222" i="3" s="1"/>
  <c r="E222" i="3" l="1"/>
  <c r="H222" i="3" s="1"/>
  <c r="AG222" i="3"/>
  <c r="D222" i="3"/>
  <c r="F222" i="3" l="1"/>
  <c r="G222" i="3"/>
  <c r="K222" i="3"/>
  <c r="AE222" i="3" s="1"/>
  <c r="I222" i="3" l="1"/>
  <c r="J222" i="3"/>
  <c r="M222" i="3"/>
  <c r="N222" i="3" s="1"/>
  <c r="V222" i="3"/>
  <c r="A223" i="3"/>
  <c r="B223" i="3" s="1"/>
  <c r="W222" i="3" l="1"/>
  <c r="L222" i="3"/>
  <c r="P223" i="3"/>
  <c r="Q223" i="3" s="1"/>
  <c r="R223" i="3" s="1"/>
  <c r="S223" i="3" s="1"/>
  <c r="Z223" i="3"/>
  <c r="AC223" i="3"/>
  <c r="AD223" i="3"/>
  <c r="AA223" i="3"/>
  <c r="U222" i="3" l="1"/>
  <c r="Y221" i="3"/>
  <c r="T223" i="3"/>
  <c r="D223" i="3" l="1"/>
  <c r="G223" i="3" s="1"/>
  <c r="AG223" i="3"/>
  <c r="AH223" i="3"/>
  <c r="E223" i="3"/>
  <c r="H223" i="3" s="1"/>
  <c r="K223" i="3" s="1"/>
  <c r="AE223" i="3" s="1"/>
  <c r="F223" i="3" l="1"/>
  <c r="I223" i="3"/>
  <c r="J223" i="3"/>
  <c r="M223" i="3"/>
  <c r="N223" i="3" s="1"/>
  <c r="V223" i="3"/>
  <c r="A224" i="3"/>
  <c r="B224" i="3" s="1"/>
  <c r="W223" i="3" l="1"/>
  <c r="L223" i="3"/>
  <c r="Z224" i="3"/>
  <c r="P224" i="3"/>
  <c r="Q224" i="3" s="1"/>
  <c r="R224" i="3" s="1"/>
  <c r="S224" i="3" s="1"/>
  <c r="AC224" i="3"/>
  <c r="AA224" i="3"/>
  <c r="U223" i="3" l="1"/>
  <c r="Y222" i="3"/>
  <c r="T224" i="3"/>
  <c r="D224" i="3" l="1"/>
  <c r="G224" i="3" s="1"/>
  <c r="AG224" i="3"/>
  <c r="AH224" i="3"/>
  <c r="E224" i="3"/>
  <c r="H224" i="3" s="1"/>
  <c r="K224" i="3" s="1"/>
  <c r="AE224" i="3" s="1"/>
  <c r="F224" i="3" l="1"/>
  <c r="I224" i="3"/>
  <c r="J224" i="3"/>
  <c r="M224" i="3"/>
  <c r="N224" i="3" s="1"/>
  <c r="V224" i="3"/>
  <c r="A225" i="3"/>
  <c r="B225" i="3" s="1"/>
  <c r="W224" i="3" l="1"/>
  <c r="L224" i="3"/>
  <c r="AD224" i="3"/>
  <c r="AC225" i="3"/>
  <c r="P225" i="3"/>
  <c r="Q225" i="3" s="1"/>
  <c r="R225" i="3" s="1"/>
  <c r="S225" i="3" s="1"/>
  <c r="AA225" i="3"/>
  <c r="AD225" i="3"/>
  <c r="Z225" i="3"/>
  <c r="U224" i="3" l="1"/>
  <c r="Y223" i="3"/>
  <c r="T225" i="3"/>
  <c r="AG225" i="3" s="1"/>
  <c r="AH225" i="3" l="1"/>
  <c r="E225" i="3"/>
  <c r="H225" i="3" s="1"/>
  <c r="D225" i="3"/>
  <c r="K225" i="3" l="1"/>
  <c r="AE225" i="3" s="1"/>
  <c r="F225" i="3"/>
  <c r="G225" i="3"/>
  <c r="I225" i="3" l="1"/>
  <c r="J225" i="3"/>
  <c r="M225" i="3"/>
  <c r="N225" i="3" s="1"/>
  <c r="V225" i="3"/>
  <c r="A226" i="3"/>
  <c r="B226" i="3" s="1"/>
  <c r="W225" i="3" l="1"/>
  <c r="L225" i="3"/>
  <c r="AD226" i="3"/>
  <c r="Z226" i="3"/>
  <c r="AA226" i="3"/>
  <c r="P226" i="3"/>
  <c r="Q226" i="3" s="1"/>
  <c r="R226" i="3" s="1"/>
  <c r="S226" i="3" s="1"/>
  <c r="AC226" i="3"/>
  <c r="U225" i="3" l="1"/>
  <c r="Y224" i="3"/>
  <c r="T226" i="3"/>
  <c r="D226" i="3" l="1"/>
  <c r="G226" i="3" s="1"/>
  <c r="AH226" i="3"/>
  <c r="AG226" i="3"/>
  <c r="E226" i="3"/>
  <c r="H226" i="3" s="1"/>
  <c r="F226" i="3" l="1"/>
  <c r="I226" i="3"/>
  <c r="J226" i="3"/>
  <c r="M226" i="3"/>
  <c r="N226" i="3" s="1"/>
  <c r="K226" i="3"/>
  <c r="AE226" i="3" s="1"/>
  <c r="V226" i="3" l="1"/>
  <c r="W226" i="3" s="1"/>
  <c r="A227" i="3"/>
  <c r="B227" i="3" s="1"/>
  <c r="L226" i="3"/>
  <c r="U226" i="3" l="1"/>
  <c r="Y225" i="3"/>
  <c r="P227" i="3"/>
  <c r="Q227" i="3" s="1"/>
  <c r="R227" i="3" s="1"/>
  <c r="S227" i="3" s="1"/>
  <c r="AA227" i="3"/>
  <c r="Z227" i="3"/>
  <c r="AC227" i="3"/>
  <c r="T227" i="3" l="1"/>
  <c r="D227" i="3" s="1"/>
  <c r="E227" i="3" l="1"/>
  <c r="H227" i="3" s="1"/>
  <c r="K227" i="3" s="1"/>
  <c r="AE227" i="3" s="1"/>
  <c r="AH227" i="3"/>
  <c r="AG227" i="3"/>
  <c r="G227" i="3"/>
  <c r="F227" i="3" l="1"/>
  <c r="V227" i="3"/>
  <c r="A228" i="3"/>
  <c r="B228" i="3" s="1"/>
  <c r="I227" i="3"/>
  <c r="J227" i="3"/>
  <c r="AD227" i="3" s="1"/>
  <c r="M227" i="3"/>
  <c r="N227" i="3" s="1"/>
  <c r="L227" i="3" l="1"/>
  <c r="W227" i="3"/>
  <c r="AD228" i="3"/>
  <c r="AA228" i="3"/>
  <c r="Z228" i="3"/>
  <c r="P228" i="3"/>
  <c r="Q228" i="3" s="1"/>
  <c r="R228" i="3" s="1"/>
  <c r="S228" i="3" s="1"/>
  <c r="AC228" i="3"/>
  <c r="T228" i="3" l="1"/>
  <c r="AG228" i="3" s="1"/>
  <c r="U227" i="3"/>
  <c r="Y226" i="3"/>
  <c r="AH228" i="3" l="1"/>
  <c r="E228" i="3"/>
  <c r="H228" i="3" s="1"/>
  <c r="D228" i="3"/>
  <c r="K228" i="3" l="1"/>
  <c r="AE228" i="3" s="1"/>
  <c r="F228" i="3"/>
  <c r="G228" i="3"/>
  <c r="V228" i="3" l="1"/>
  <c r="A229" i="3"/>
  <c r="B229" i="3" s="1"/>
  <c r="I228" i="3"/>
  <c r="J228" i="3"/>
  <c r="M228" i="3"/>
  <c r="N228" i="3" s="1"/>
  <c r="W228" i="3" l="1"/>
  <c r="L228" i="3"/>
  <c r="AA229" i="3"/>
  <c r="AD229" i="3"/>
  <c r="AC229" i="3"/>
  <c r="P229" i="3"/>
  <c r="Q229" i="3" s="1"/>
  <c r="R229" i="3" s="1"/>
  <c r="S229" i="3" s="1"/>
  <c r="Z229" i="3"/>
  <c r="U228" i="3" l="1"/>
  <c r="Y227" i="3"/>
  <c r="T229" i="3"/>
  <c r="AH229" i="3" s="1"/>
  <c r="D229" i="3" l="1"/>
  <c r="E229" i="3"/>
  <c r="H229" i="3" s="1"/>
  <c r="AG229" i="3"/>
  <c r="K229" i="3" l="1"/>
  <c r="AE229" i="3" s="1"/>
  <c r="F229" i="3"/>
  <c r="G229" i="3"/>
  <c r="V229" i="3" l="1"/>
  <c r="A230" i="3"/>
  <c r="B230" i="3" s="1"/>
  <c r="I229" i="3"/>
  <c r="J229" i="3"/>
  <c r="M229" i="3"/>
  <c r="N229" i="3" s="1"/>
  <c r="L229" i="3" l="1"/>
  <c r="W229" i="3"/>
  <c r="P230" i="3"/>
  <c r="Q230" i="3" s="1"/>
  <c r="R230" i="3" s="1"/>
  <c r="S230" i="3" s="1"/>
  <c r="AA230" i="3"/>
  <c r="AC230" i="3"/>
  <c r="AD230" i="3"/>
  <c r="Z230" i="3"/>
  <c r="U229" i="3" l="1"/>
  <c r="Y228" i="3"/>
  <c r="T230" i="3"/>
  <c r="AH230" i="3" s="1"/>
  <c r="AG230" i="3" l="1"/>
  <c r="D230" i="3"/>
  <c r="E230" i="3"/>
  <c r="H230" i="3" s="1"/>
  <c r="K230" i="3" l="1"/>
  <c r="AE230" i="3" s="1"/>
  <c r="F230" i="3"/>
  <c r="G230" i="3"/>
  <c r="I230" i="3" l="1"/>
  <c r="J230" i="3"/>
  <c r="M230" i="3"/>
  <c r="N230" i="3" s="1"/>
  <c r="V230" i="3"/>
  <c r="A231" i="3"/>
  <c r="B231" i="3" s="1"/>
  <c r="W230" i="3" l="1"/>
  <c r="L230" i="3"/>
  <c r="P231" i="3"/>
  <c r="Q231" i="3" s="1"/>
  <c r="R231" i="3" s="1"/>
  <c r="S231" i="3" s="1"/>
  <c r="AA231" i="3"/>
  <c r="Z231" i="3"/>
  <c r="AC231" i="3"/>
  <c r="T231" i="3" l="1"/>
  <c r="U230" i="3"/>
  <c r="Y229" i="3"/>
  <c r="D231" i="3" l="1"/>
  <c r="G231" i="3" s="1"/>
  <c r="E231" i="3"/>
  <c r="H231" i="3" s="1"/>
  <c r="K231" i="3" s="1"/>
  <c r="AE231" i="3" s="1"/>
  <c r="AG231" i="3"/>
  <c r="AH231" i="3"/>
  <c r="F231" i="3" l="1"/>
  <c r="V231" i="3"/>
  <c r="A232" i="3"/>
  <c r="B232" i="3" s="1"/>
  <c r="I231" i="3"/>
  <c r="J231" i="3"/>
  <c r="AD231" i="3" s="1"/>
  <c r="M231" i="3"/>
  <c r="N231" i="3" s="1"/>
  <c r="L231" i="3" l="1"/>
  <c r="W231" i="3"/>
  <c r="P232" i="3"/>
  <c r="Q232" i="3" s="1"/>
  <c r="R232" i="3" s="1"/>
  <c r="S232" i="3" s="1"/>
  <c r="AD232" i="3"/>
  <c r="Z232" i="3"/>
  <c r="AA232" i="3"/>
  <c r="AC232" i="3"/>
  <c r="U231" i="3" l="1"/>
  <c r="Y230" i="3"/>
  <c r="T232" i="3"/>
  <c r="D232" i="3" l="1"/>
  <c r="G232" i="3" s="1"/>
  <c r="AG232" i="3"/>
  <c r="E232" i="3"/>
  <c r="H232" i="3" s="1"/>
  <c r="AH232" i="3"/>
  <c r="F232" i="3" l="1"/>
  <c r="I232" i="3"/>
  <c r="J232" i="3"/>
  <c r="M232" i="3"/>
  <c r="N232" i="3" s="1"/>
  <c r="K232" i="3"/>
  <c r="AE232" i="3" s="1"/>
  <c r="V232" i="3" l="1"/>
  <c r="W232" i="3" s="1"/>
  <c r="A233" i="3"/>
  <c r="B233" i="3" s="1"/>
  <c r="L232" i="3"/>
  <c r="U232" i="3" l="1"/>
  <c r="Y231" i="3"/>
  <c r="AA233" i="3"/>
  <c r="AD233" i="3"/>
  <c r="AC233" i="3"/>
  <c r="P233" i="3"/>
  <c r="Q233" i="3" s="1"/>
  <c r="R233" i="3" s="1"/>
  <c r="S233" i="3" s="1"/>
  <c r="Z233" i="3"/>
  <c r="T233" i="3" l="1"/>
  <c r="D233" i="3" s="1"/>
  <c r="AG233" i="3" l="1"/>
  <c r="AH233" i="3"/>
  <c r="E233" i="3"/>
  <c r="H233" i="3" s="1"/>
  <c r="K233" i="3" s="1"/>
  <c r="AE233" i="3" s="1"/>
  <c r="G233" i="3"/>
  <c r="F233" i="3" l="1"/>
  <c r="I233" i="3"/>
  <c r="J233" i="3"/>
  <c r="M233" i="3"/>
  <c r="N233" i="3" s="1"/>
  <c r="V233" i="3"/>
  <c r="A234" i="3"/>
  <c r="B234" i="3" s="1"/>
  <c r="W233" i="3" l="1"/>
  <c r="L233" i="3"/>
  <c r="Z234" i="3"/>
  <c r="P234" i="3"/>
  <c r="Q234" i="3" s="1"/>
  <c r="R234" i="3" s="1"/>
  <c r="S234" i="3" s="1"/>
  <c r="AC234" i="3"/>
  <c r="AA234" i="3"/>
  <c r="U233" i="3" l="1"/>
  <c r="Y232" i="3"/>
  <c r="T234" i="3"/>
  <c r="E234" i="3" l="1"/>
  <c r="H234" i="3" s="1"/>
  <c r="K234" i="3" s="1"/>
  <c r="AE234" i="3" s="1"/>
  <c r="AG234" i="3"/>
  <c r="AH234" i="3"/>
  <c r="D234" i="3"/>
  <c r="G234" i="3" s="1"/>
  <c r="F234" i="3" l="1"/>
  <c r="I234" i="3"/>
  <c r="J234" i="3"/>
  <c r="M234" i="3"/>
  <c r="N234" i="3" s="1"/>
  <c r="V234" i="3"/>
  <c r="A235" i="3"/>
  <c r="B235" i="3" s="1"/>
  <c r="L234" i="3" l="1"/>
  <c r="AD234" i="3"/>
  <c r="W234" i="3"/>
  <c r="AC235" i="3"/>
  <c r="AA235" i="3"/>
  <c r="Z235" i="3"/>
  <c r="P235" i="3"/>
  <c r="Q235" i="3" s="1"/>
  <c r="R235" i="3" s="1"/>
  <c r="S235" i="3" s="1"/>
  <c r="AD235" i="3"/>
  <c r="U234" i="3" l="1"/>
  <c r="Y233" i="3"/>
  <c r="T235" i="3"/>
  <c r="E235" i="3" l="1"/>
  <c r="H235" i="3" s="1"/>
  <c r="K235" i="3" s="1"/>
  <c r="AE235" i="3" s="1"/>
  <c r="AG235" i="3"/>
  <c r="D235" i="3"/>
  <c r="AH235" i="3"/>
  <c r="F235" i="3" l="1"/>
  <c r="G235" i="3"/>
  <c r="V235" i="3"/>
  <c r="A236" i="3"/>
  <c r="B236" i="3" s="1"/>
  <c r="AD236" i="3" l="1"/>
  <c r="P236" i="3"/>
  <c r="Q236" i="3" s="1"/>
  <c r="R236" i="3" s="1"/>
  <c r="S236" i="3" s="1"/>
  <c r="AA236" i="3"/>
  <c r="Z236" i="3"/>
  <c r="AC236" i="3"/>
  <c r="I235" i="3"/>
  <c r="W235" i="3" s="1"/>
  <c r="J235" i="3"/>
  <c r="M235" i="3"/>
  <c r="N235" i="3" s="1"/>
  <c r="T236" i="3" l="1"/>
  <c r="L235" i="3"/>
  <c r="U235" i="3" l="1"/>
  <c r="D236" i="3" s="1"/>
  <c r="AH236" i="3"/>
  <c r="AG236" i="3"/>
  <c r="Y234" i="3"/>
  <c r="E236" i="3" l="1"/>
  <c r="H236" i="3" s="1"/>
  <c r="K236" i="3" s="1"/>
  <c r="AE236" i="3" s="1"/>
  <c r="G236" i="3"/>
  <c r="F236" i="3" l="1"/>
  <c r="I236" i="3"/>
  <c r="J236" i="3"/>
  <c r="M236" i="3"/>
  <c r="N236" i="3" s="1"/>
  <c r="V236" i="3"/>
  <c r="A237" i="3"/>
  <c r="B237" i="3" s="1"/>
  <c r="W236" i="3" l="1"/>
  <c r="L236" i="3"/>
  <c r="P237" i="3"/>
  <c r="Q237" i="3" s="1"/>
  <c r="R237" i="3" s="1"/>
  <c r="S237" i="3" s="1"/>
  <c r="AA237" i="3"/>
  <c r="Z237" i="3"/>
  <c r="AC237" i="3"/>
  <c r="U236" i="3" l="1"/>
  <c r="Y235" i="3"/>
  <c r="T237" i="3"/>
  <c r="AH237" i="3" s="1"/>
  <c r="E237" i="3" l="1"/>
  <c r="H237" i="3" s="1"/>
  <c r="K237" i="3" s="1"/>
  <c r="AE237" i="3" s="1"/>
  <c r="AG237" i="3"/>
  <c r="D237" i="3"/>
  <c r="F237" i="3" l="1"/>
  <c r="G237" i="3"/>
  <c r="M237" i="3" s="1"/>
  <c r="N237" i="3" s="1"/>
  <c r="V237" i="3"/>
  <c r="A238" i="3"/>
  <c r="B238" i="3" s="1"/>
  <c r="I237" i="3" l="1"/>
  <c r="W237" i="3" s="1"/>
  <c r="J237" i="3"/>
  <c r="P238" i="3"/>
  <c r="Q238" i="3" s="1"/>
  <c r="R238" i="3" s="1"/>
  <c r="S238" i="3" s="1"/>
  <c r="Z238" i="3"/>
  <c r="AC238" i="3"/>
  <c r="AA238" i="3"/>
  <c r="AD238" i="3"/>
  <c r="L237" i="3" l="1"/>
  <c r="AD237" i="3"/>
  <c r="T238" i="3"/>
  <c r="AG238" i="3" s="1"/>
  <c r="U237" i="3"/>
  <c r="Y236" i="3"/>
  <c r="AH238" i="3" l="1"/>
  <c r="E238" i="3"/>
  <c r="H238" i="3" s="1"/>
  <c r="K238" i="3" s="1"/>
  <c r="AE238" i="3" s="1"/>
  <c r="D238" i="3"/>
  <c r="F238" i="3" l="1"/>
  <c r="G238" i="3"/>
  <c r="M238" i="3" s="1"/>
  <c r="N238" i="3" s="1"/>
  <c r="V238" i="3"/>
  <c r="A239" i="3"/>
  <c r="B239" i="3" s="1"/>
  <c r="I238" i="3" l="1"/>
  <c r="W238" i="3" s="1"/>
  <c r="J238" i="3"/>
  <c r="L238" i="3" s="1"/>
  <c r="AD239" i="3"/>
  <c r="P239" i="3"/>
  <c r="Q239" i="3" s="1"/>
  <c r="R239" i="3" s="1"/>
  <c r="S239" i="3" s="1"/>
  <c r="AC239" i="3"/>
  <c r="Z239" i="3"/>
  <c r="AA239" i="3"/>
  <c r="T239" i="3" l="1"/>
  <c r="U238" i="3"/>
  <c r="Y237" i="3"/>
  <c r="D239" i="3" l="1"/>
  <c r="G239" i="3" s="1"/>
  <c r="E239" i="3"/>
  <c r="H239" i="3" s="1"/>
  <c r="K239" i="3" s="1"/>
  <c r="AE239" i="3" s="1"/>
  <c r="AG239" i="3"/>
  <c r="AH239" i="3"/>
  <c r="F239" i="3" l="1"/>
  <c r="I239" i="3"/>
  <c r="J239" i="3"/>
  <c r="M239" i="3"/>
  <c r="N239" i="3" s="1"/>
  <c r="V239" i="3"/>
  <c r="A240" i="3"/>
  <c r="B240" i="3" s="1"/>
  <c r="W239" i="3" l="1"/>
  <c r="L239" i="3"/>
  <c r="Z240" i="3"/>
  <c r="P240" i="3"/>
  <c r="Q240" i="3" s="1"/>
  <c r="R240" i="3" s="1"/>
  <c r="S240" i="3" s="1"/>
  <c r="AD240" i="3"/>
  <c r="AA240" i="3"/>
  <c r="AC240" i="3"/>
  <c r="U239" i="3" l="1"/>
  <c r="Y238" i="3"/>
  <c r="T240" i="3"/>
  <c r="E240" i="3" l="1"/>
  <c r="H240" i="3" s="1"/>
  <c r="K240" i="3" s="1"/>
  <c r="AE240" i="3" s="1"/>
  <c r="D240" i="3"/>
  <c r="AG240" i="3"/>
  <c r="AH240" i="3"/>
  <c r="V240" i="3" l="1"/>
  <c r="A241" i="3"/>
  <c r="B241" i="3" s="1"/>
  <c r="F240" i="3"/>
  <c r="G240" i="3"/>
  <c r="I240" i="3" l="1"/>
  <c r="W240" i="3" s="1"/>
  <c r="J240" i="3"/>
  <c r="M240" i="3"/>
  <c r="N240" i="3" s="1"/>
  <c r="Z241" i="3"/>
  <c r="AC241" i="3"/>
  <c r="P241" i="3"/>
  <c r="Q241" i="3" s="1"/>
  <c r="R241" i="3" s="1"/>
  <c r="S241" i="3" s="1"/>
  <c r="AA241" i="3"/>
  <c r="T241" i="3" l="1"/>
  <c r="L240" i="3"/>
  <c r="AG241" i="3" l="1"/>
  <c r="AH241" i="3"/>
  <c r="U240" i="3"/>
  <c r="D241" i="3" s="1"/>
  <c r="Y239" i="3"/>
  <c r="G241" i="3" l="1"/>
  <c r="E241" i="3"/>
  <c r="H241" i="3" s="1"/>
  <c r="F241" i="3" l="1"/>
  <c r="I241" i="3"/>
  <c r="J241" i="3"/>
  <c r="AD241" i="3" s="1"/>
  <c r="M241" i="3"/>
  <c r="N241" i="3" s="1"/>
  <c r="K241" i="3"/>
  <c r="AE241" i="3" s="1"/>
  <c r="V241" i="3" l="1"/>
  <c r="W241" i="3" s="1"/>
  <c r="A242" i="3"/>
  <c r="B242" i="3" s="1"/>
  <c r="L241" i="3"/>
  <c r="U241" i="3" l="1"/>
  <c r="Y240" i="3"/>
  <c r="Z242" i="3"/>
  <c r="AA242" i="3"/>
  <c r="P242" i="3"/>
  <c r="Q242" i="3" s="1"/>
  <c r="R242" i="3" s="1"/>
  <c r="S242" i="3" s="1"/>
  <c r="AD242" i="3"/>
  <c r="AC242" i="3"/>
  <c r="T242" i="3" l="1"/>
  <c r="D242" i="3" s="1"/>
  <c r="E242" i="3" l="1"/>
  <c r="H242" i="3" s="1"/>
  <c r="K242" i="3" s="1"/>
  <c r="AE242" i="3" s="1"/>
  <c r="G242" i="3"/>
  <c r="AH242" i="3"/>
  <c r="AG242" i="3"/>
  <c r="F242" i="3" l="1"/>
  <c r="I242" i="3"/>
  <c r="J242" i="3"/>
  <c r="M242" i="3"/>
  <c r="N242" i="3" s="1"/>
  <c r="V242" i="3"/>
  <c r="A243" i="3"/>
  <c r="B243" i="3" s="1"/>
  <c r="W242" i="3" l="1"/>
  <c r="L242" i="3"/>
  <c r="AA243" i="3"/>
  <c r="AC243" i="3"/>
  <c r="Z243" i="3"/>
  <c r="P243" i="3"/>
  <c r="Q243" i="3" s="1"/>
  <c r="R243" i="3" s="1"/>
  <c r="S243" i="3" s="1"/>
  <c r="AD243" i="3"/>
  <c r="U242" i="3" l="1"/>
  <c r="Y241" i="3"/>
  <c r="T243" i="3"/>
  <c r="AH243" i="3" s="1"/>
  <c r="D243" i="3" l="1"/>
  <c r="G243" i="3" s="1"/>
  <c r="E243" i="3"/>
  <c r="H243" i="3" s="1"/>
  <c r="K243" i="3" s="1"/>
  <c r="AE243" i="3" s="1"/>
  <c r="AG243" i="3"/>
  <c r="F243" i="3" l="1"/>
  <c r="I243" i="3"/>
  <c r="J243" i="3"/>
  <c r="M243" i="3"/>
  <c r="N243" i="3" s="1"/>
  <c r="V243" i="3"/>
  <c r="A244" i="3"/>
  <c r="B244" i="3" s="1"/>
  <c r="W243" i="3" l="1"/>
  <c r="L243" i="3"/>
  <c r="AA244" i="3"/>
  <c r="P244" i="3"/>
  <c r="Q244" i="3" s="1"/>
  <c r="R244" i="3" s="1"/>
  <c r="S244" i="3" s="1"/>
  <c r="Z244" i="3"/>
  <c r="AC244" i="3"/>
  <c r="U243" i="3" l="1"/>
  <c r="Y242" i="3"/>
  <c r="T244" i="3"/>
  <c r="D244" i="3" l="1"/>
  <c r="G244" i="3" s="1"/>
  <c r="E244" i="3"/>
  <c r="H244" i="3" s="1"/>
  <c r="AG244" i="3"/>
  <c r="AH244" i="3"/>
  <c r="I244" i="3" l="1"/>
  <c r="J244" i="3"/>
  <c r="M244" i="3"/>
  <c r="N244" i="3" s="1"/>
  <c r="F244" i="3"/>
  <c r="K244" i="3"/>
  <c r="AE244" i="3" s="1"/>
  <c r="L244" i="3" l="1"/>
  <c r="AD244" i="3"/>
  <c r="V244" i="3"/>
  <c r="W244" i="3" s="1"/>
  <c r="A245" i="3"/>
  <c r="B245" i="3" s="1"/>
  <c r="U244" i="3" l="1"/>
  <c r="Y243" i="3"/>
  <c r="Z245" i="3"/>
  <c r="AD245" i="3"/>
  <c r="AA245" i="3"/>
  <c r="P245" i="3"/>
  <c r="Q245" i="3" s="1"/>
  <c r="R245" i="3" s="1"/>
  <c r="S245" i="3" s="1"/>
  <c r="AC245" i="3"/>
  <c r="T245" i="3" l="1"/>
  <c r="AG245" i="3" s="1"/>
  <c r="D245" i="3" l="1"/>
  <c r="G245" i="3" s="1"/>
  <c r="AH245" i="3"/>
  <c r="E245" i="3"/>
  <c r="H245" i="3" s="1"/>
  <c r="F245" i="3" l="1"/>
  <c r="I245" i="3"/>
  <c r="J245" i="3"/>
  <c r="M245" i="3"/>
  <c r="N245" i="3" s="1"/>
  <c r="K245" i="3"/>
  <c r="AE245" i="3" s="1"/>
  <c r="V245" i="3" l="1"/>
  <c r="W245" i="3" s="1"/>
  <c r="A246" i="3"/>
  <c r="B246" i="3" s="1"/>
  <c r="L245" i="3"/>
  <c r="U245" i="3" l="1"/>
  <c r="Y244" i="3"/>
  <c r="P246" i="3"/>
  <c r="Q246" i="3" s="1"/>
  <c r="R246" i="3" s="1"/>
  <c r="S246" i="3" s="1"/>
  <c r="AC246" i="3"/>
  <c r="Z246" i="3"/>
  <c r="AD246" i="3"/>
  <c r="AA246" i="3"/>
  <c r="T246" i="3" l="1"/>
  <c r="D246" i="3" s="1"/>
  <c r="E246" i="3" l="1"/>
  <c r="H246" i="3" s="1"/>
  <c r="K246" i="3" s="1"/>
  <c r="AE246" i="3" s="1"/>
  <c r="AG246" i="3"/>
  <c r="AH246" i="3"/>
  <c r="G246" i="3"/>
  <c r="F246" i="3" l="1"/>
  <c r="I246" i="3"/>
  <c r="J246" i="3"/>
  <c r="M246" i="3"/>
  <c r="N246" i="3" s="1"/>
  <c r="V246" i="3"/>
  <c r="A247" i="3"/>
  <c r="B247" i="3" s="1"/>
  <c r="W246" i="3" l="1"/>
  <c r="L246" i="3"/>
  <c r="P247" i="3"/>
  <c r="Q247" i="3" s="1"/>
  <c r="R247" i="3" s="1"/>
  <c r="S247" i="3" s="1"/>
  <c r="AA247" i="3"/>
  <c r="AC247" i="3"/>
  <c r="Z247" i="3"/>
  <c r="U246" i="3" l="1"/>
  <c r="Y245" i="3"/>
  <c r="T247" i="3"/>
  <c r="AG247" i="3" s="1"/>
  <c r="AH247" i="3" l="1"/>
  <c r="D247" i="3"/>
  <c r="E247" i="3"/>
  <c r="H247" i="3" s="1"/>
  <c r="K247" i="3" s="1"/>
  <c r="AE247" i="3" s="1"/>
  <c r="F247" i="3" l="1"/>
  <c r="G247" i="3"/>
  <c r="M247" i="3" s="1"/>
  <c r="N247" i="3" s="1"/>
  <c r="V247" i="3"/>
  <c r="A248" i="3"/>
  <c r="B248" i="3" s="1"/>
  <c r="I247" i="3" l="1"/>
  <c r="W247" i="3" s="1"/>
  <c r="J247" i="3"/>
  <c r="Z248" i="3"/>
  <c r="P248" i="3"/>
  <c r="Q248" i="3" s="1"/>
  <c r="R248" i="3" s="1"/>
  <c r="S248" i="3" s="1"/>
  <c r="AA248" i="3"/>
  <c r="AC248" i="3"/>
  <c r="AD248" i="3"/>
  <c r="L247" i="3" l="1"/>
  <c r="U247" i="3" s="1"/>
  <c r="AD247" i="3"/>
  <c r="T248" i="3"/>
  <c r="AG248" i="3" s="1"/>
  <c r="Y246" i="3" l="1"/>
  <c r="E248" i="3"/>
  <c r="H248" i="3" s="1"/>
  <c r="K248" i="3" s="1"/>
  <c r="AE248" i="3" s="1"/>
  <c r="AH248" i="3"/>
  <c r="D248" i="3"/>
  <c r="G248" i="3" s="1"/>
  <c r="F248" i="3" l="1"/>
  <c r="I248" i="3"/>
  <c r="J248" i="3"/>
  <c r="M248" i="3"/>
  <c r="N248" i="3" s="1"/>
  <c r="V248" i="3"/>
  <c r="A249" i="3"/>
  <c r="B249" i="3" s="1"/>
  <c r="W248" i="3" l="1"/>
  <c r="L248" i="3"/>
  <c r="AC249" i="3"/>
  <c r="P249" i="3"/>
  <c r="Q249" i="3" s="1"/>
  <c r="R249" i="3" s="1"/>
  <c r="S249" i="3" s="1"/>
  <c r="Z249" i="3"/>
  <c r="AD249" i="3"/>
  <c r="AA249" i="3"/>
  <c r="U248" i="3" l="1"/>
  <c r="Y247" i="3"/>
  <c r="T249" i="3"/>
  <c r="AG249" i="3" s="1"/>
  <c r="D249" i="3" l="1"/>
  <c r="G249" i="3" s="1"/>
  <c r="AH249" i="3"/>
  <c r="E249" i="3"/>
  <c r="H249" i="3" s="1"/>
  <c r="K249" i="3" s="1"/>
  <c r="AE249" i="3" s="1"/>
  <c r="F249" i="3" l="1"/>
  <c r="I249" i="3"/>
  <c r="J249" i="3"/>
  <c r="M249" i="3"/>
  <c r="N249" i="3" s="1"/>
  <c r="V249" i="3"/>
  <c r="A250" i="3"/>
  <c r="B250" i="3" s="1"/>
  <c r="W249" i="3" l="1"/>
  <c r="L249" i="3"/>
  <c r="AC250" i="3"/>
  <c r="AA250" i="3"/>
  <c r="P250" i="3"/>
  <c r="Q250" i="3" s="1"/>
  <c r="R250" i="3" s="1"/>
  <c r="S250" i="3" s="1"/>
  <c r="AD250" i="3"/>
  <c r="Z250" i="3"/>
  <c r="T250" i="3" l="1"/>
  <c r="AG250" i="3" s="1"/>
  <c r="U249" i="3"/>
  <c r="Y248" i="3"/>
  <c r="D250" i="3" l="1"/>
  <c r="E250" i="3"/>
  <c r="H250" i="3" s="1"/>
  <c r="AH250" i="3"/>
  <c r="F250" i="3" l="1"/>
  <c r="G250" i="3"/>
  <c r="K250" i="3"/>
  <c r="AE250" i="3" s="1"/>
  <c r="V250" i="3" l="1"/>
  <c r="A251" i="3"/>
  <c r="B251" i="3" s="1"/>
  <c r="I250" i="3"/>
  <c r="J250" i="3"/>
  <c r="M250" i="3"/>
  <c r="N250" i="3" s="1"/>
  <c r="W250" i="3" l="1"/>
  <c r="L250" i="3"/>
  <c r="P251" i="3"/>
  <c r="Q251" i="3" s="1"/>
  <c r="R251" i="3" s="1"/>
  <c r="S251" i="3" s="1"/>
  <c r="AC251" i="3"/>
  <c r="AA251" i="3"/>
  <c r="Z251" i="3"/>
  <c r="U250" i="3" l="1"/>
  <c r="Y249" i="3"/>
  <c r="T251" i="3"/>
  <c r="D251" i="3" l="1"/>
  <c r="G251" i="3" s="1"/>
  <c r="AG251" i="3"/>
  <c r="AH251" i="3"/>
  <c r="E251" i="3"/>
  <c r="H251" i="3" s="1"/>
  <c r="I251" i="3" l="1"/>
  <c r="J251" i="3"/>
  <c r="AD251" i="3" s="1"/>
  <c r="M251" i="3"/>
  <c r="N251" i="3" s="1"/>
  <c r="K251" i="3"/>
  <c r="AE251" i="3" s="1"/>
  <c r="F251" i="3"/>
  <c r="V251" i="3" l="1"/>
  <c r="W251" i="3" s="1"/>
  <c r="A252" i="3"/>
  <c r="B252" i="3" s="1"/>
  <c r="L251" i="3"/>
  <c r="U251" i="3" l="1"/>
  <c r="Y250" i="3"/>
  <c r="AD252" i="3"/>
  <c r="Z252" i="3"/>
  <c r="AA252" i="3"/>
  <c r="P252" i="3"/>
  <c r="Q252" i="3" s="1"/>
  <c r="R252" i="3" s="1"/>
  <c r="S252" i="3" s="1"/>
  <c r="AC252" i="3"/>
  <c r="T252" i="3" l="1"/>
  <c r="AH252" i="3" s="1"/>
  <c r="E252" i="3" l="1"/>
  <c r="H252" i="3" s="1"/>
  <c r="K252" i="3" s="1"/>
  <c r="AE252" i="3" s="1"/>
  <c r="AG252" i="3"/>
  <c r="D252" i="3"/>
  <c r="F252" i="3" l="1"/>
  <c r="G252" i="3"/>
  <c r="V252" i="3"/>
  <c r="A253" i="3"/>
  <c r="B253" i="3" s="1"/>
  <c r="AC253" i="3" l="1"/>
  <c r="AA253" i="3"/>
  <c r="AD253" i="3"/>
  <c r="P253" i="3"/>
  <c r="Q253" i="3" s="1"/>
  <c r="R253" i="3" s="1"/>
  <c r="S253" i="3" s="1"/>
  <c r="Z253" i="3"/>
  <c r="I252" i="3"/>
  <c r="W252" i="3" s="1"/>
  <c r="J252" i="3"/>
  <c r="M252" i="3"/>
  <c r="N252" i="3" s="1"/>
  <c r="L252" i="3" l="1"/>
  <c r="T253" i="3"/>
  <c r="AH253" i="3" l="1"/>
  <c r="U252" i="3"/>
  <c r="E253" i="3" s="1"/>
  <c r="H253" i="3" s="1"/>
  <c r="AG253" i="3"/>
  <c r="Y251" i="3"/>
  <c r="D253" i="3" l="1"/>
  <c r="F253" i="3" s="1"/>
  <c r="K253" i="3"/>
  <c r="AE253" i="3" s="1"/>
  <c r="G253" i="3" l="1"/>
  <c r="J253" i="3" s="1"/>
  <c r="V253" i="3"/>
  <c r="A254" i="3"/>
  <c r="B254" i="3" s="1"/>
  <c r="M253" i="3" l="1"/>
  <c r="N253" i="3" s="1"/>
  <c r="I253" i="3"/>
  <c r="W253" i="3" s="1"/>
  <c r="L253" i="3"/>
  <c r="AA254" i="3"/>
  <c r="AC254" i="3"/>
  <c r="P254" i="3"/>
  <c r="Q254" i="3" s="1"/>
  <c r="R254" i="3" s="1"/>
  <c r="S254" i="3" s="1"/>
  <c r="Z254" i="3"/>
  <c r="U253" i="3" l="1"/>
  <c r="Y252" i="3"/>
  <c r="T254" i="3"/>
  <c r="AH254" i="3" s="1"/>
  <c r="D254" i="3" l="1"/>
  <c r="G254" i="3" s="1"/>
  <c r="E254" i="3"/>
  <c r="H254" i="3" s="1"/>
  <c r="K254" i="3" s="1"/>
  <c r="AE254" i="3" s="1"/>
  <c r="AG254" i="3"/>
  <c r="F254" i="3" l="1"/>
  <c r="I254" i="3"/>
  <c r="J254" i="3"/>
  <c r="M254" i="3"/>
  <c r="N254" i="3" s="1"/>
  <c r="V254" i="3"/>
  <c r="A255" i="3"/>
  <c r="B255" i="3" s="1"/>
  <c r="W254" i="3" l="1"/>
  <c r="L254" i="3"/>
  <c r="AD254" i="3"/>
  <c r="AA255" i="3"/>
  <c r="AC255" i="3"/>
  <c r="AD255" i="3"/>
  <c r="Z255" i="3"/>
  <c r="P255" i="3"/>
  <c r="Q255" i="3" s="1"/>
  <c r="R255" i="3" s="1"/>
  <c r="S255" i="3" s="1"/>
  <c r="U254" i="3" l="1"/>
  <c r="Y253" i="3"/>
  <c r="T255" i="3"/>
  <c r="D255" i="3" l="1"/>
  <c r="G255" i="3" s="1"/>
  <c r="AG255" i="3"/>
  <c r="AH255" i="3"/>
  <c r="E255" i="3"/>
  <c r="H255" i="3" s="1"/>
  <c r="K255" i="3" s="1"/>
  <c r="AE255" i="3" s="1"/>
  <c r="F255" i="3" l="1"/>
  <c r="I255" i="3"/>
  <c r="J255" i="3"/>
  <c r="M255" i="3"/>
  <c r="N255" i="3" s="1"/>
  <c r="V255" i="3"/>
  <c r="A256" i="3"/>
  <c r="B256" i="3" s="1"/>
  <c r="W255" i="3" l="1"/>
  <c r="L255" i="3"/>
  <c r="AA256" i="3"/>
  <c r="AD256" i="3"/>
  <c r="P256" i="3"/>
  <c r="Q256" i="3" s="1"/>
  <c r="R256" i="3" s="1"/>
  <c r="S256" i="3" s="1"/>
  <c r="Z256" i="3"/>
  <c r="AC256" i="3"/>
  <c r="U255" i="3" l="1"/>
  <c r="Y254" i="3"/>
  <c r="T256" i="3"/>
  <c r="D256" i="3" l="1"/>
  <c r="G256" i="3" s="1"/>
  <c r="E256" i="3"/>
  <c r="H256" i="3" s="1"/>
  <c r="AH256" i="3"/>
  <c r="AG256" i="3"/>
  <c r="F256" i="3" l="1"/>
  <c r="I256" i="3"/>
  <c r="J256" i="3"/>
  <c r="M256" i="3"/>
  <c r="N256" i="3" s="1"/>
  <c r="K256" i="3"/>
  <c r="AE256" i="3" s="1"/>
  <c r="L256" i="3" l="1"/>
  <c r="V256" i="3"/>
  <c r="W256" i="3" s="1"/>
  <c r="A257" i="3"/>
  <c r="B257" i="3" s="1"/>
  <c r="U256" i="3" l="1"/>
  <c r="Y255" i="3"/>
  <c r="AC257" i="3"/>
  <c r="Z257" i="3"/>
  <c r="P257" i="3"/>
  <c r="Q257" i="3" s="1"/>
  <c r="R257" i="3" s="1"/>
  <c r="S257" i="3" s="1"/>
  <c r="AA257" i="3"/>
  <c r="T257" i="3" l="1"/>
  <c r="D257" i="3" s="1"/>
  <c r="E257" i="3" l="1"/>
  <c r="H257" i="3" s="1"/>
  <c r="K257" i="3" s="1"/>
  <c r="AE257" i="3" s="1"/>
  <c r="AG257" i="3"/>
  <c r="AH257" i="3"/>
  <c r="G257" i="3"/>
  <c r="F257" i="3" l="1"/>
  <c r="V257" i="3"/>
  <c r="A258" i="3"/>
  <c r="B258" i="3" s="1"/>
  <c r="I257" i="3"/>
  <c r="J257" i="3"/>
  <c r="AD257" i="3" s="1"/>
  <c r="M257" i="3"/>
  <c r="N257" i="3" s="1"/>
  <c r="W257" i="3" l="1"/>
  <c r="L257" i="3"/>
  <c r="AC258" i="3"/>
  <c r="AD258" i="3"/>
  <c r="Z258" i="3"/>
  <c r="P258" i="3"/>
  <c r="Q258" i="3" s="1"/>
  <c r="R258" i="3" s="1"/>
  <c r="S258" i="3" s="1"/>
  <c r="AA258" i="3"/>
  <c r="U257" i="3" l="1"/>
  <c r="Y256" i="3"/>
  <c r="T258" i="3"/>
  <c r="AG258" i="3" s="1"/>
  <c r="E258" i="3" l="1"/>
  <c r="H258" i="3" s="1"/>
  <c r="D258" i="3"/>
  <c r="AH258" i="3"/>
  <c r="F258" i="3" l="1"/>
  <c r="G258" i="3"/>
  <c r="K258" i="3"/>
  <c r="AE258" i="3" s="1"/>
  <c r="V258" i="3" l="1"/>
  <c r="A259" i="3"/>
  <c r="B259" i="3" s="1"/>
  <c r="I258" i="3"/>
  <c r="J258" i="3"/>
  <c r="M258" i="3"/>
  <c r="N258" i="3" s="1"/>
  <c r="L258" i="3" l="1"/>
  <c r="AC259" i="3"/>
  <c r="P259" i="3"/>
  <c r="Q259" i="3" s="1"/>
  <c r="R259" i="3" s="1"/>
  <c r="S259" i="3" s="1"/>
  <c r="Z259" i="3"/>
  <c r="AD259" i="3"/>
  <c r="AA259" i="3"/>
  <c r="W258" i="3"/>
  <c r="U258" i="3" l="1"/>
  <c r="Y257" i="3"/>
  <c r="T259" i="3"/>
  <c r="AH259" i="3" s="1"/>
  <c r="D259" i="3" l="1"/>
  <c r="G259" i="3" s="1"/>
  <c r="AG259" i="3"/>
  <c r="E259" i="3"/>
  <c r="H259" i="3" s="1"/>
  <c r="K259" i="3" s="1"/>
  <c r="AE259" i="3" s="1"/>
  <c r="F259" i="3" l="1"/>
  <c r="I259" i="3"/>
  <c r="J259" i="3"/>
  <c r="M259" i="3"/>
  <c r="N259" i="3" s="1"/>
  <c r="V259" i="3"/>
  <c r="A260" i="3"/>
  <c r="B260" i="3" s="1"/>
  <c r="W259" i="3" l="1"/>
  <c r="L259" i="3"/>
  <c r="AA260" i="3"/>
  <c r="P260" i="3"/>
  <c r="Q260" i="3" s="1"/>
  <c r="R260" i="3" s="1"/>
  <c r="S260" i="3" s="1"/>
  <c r="AD260" i="3"/>
  <c r="Z260" i="3"/>
  <c r="AC260" i="3"/>
  <c r="U259" i="3" l="1"/>
  <c r="Y258" i="3"/>
  <c r="T260" i="3"/>
  <c r="AH260" i="3" s="1"/>
  <c r="AG260" i="3" l="1"/>
  <c r="D260" i="3"/>
  <c r="E260" i="3"/>
  <c r="H260" i="3" s="1"/>
  <c r="K260" i="3" l="1"/>
  <c r="AE260" i="3" s="1"/>
  <c r="F260" i="3"/>
  <c r="G260" i="3"/>
  <c r="I260" i="3" l="1"/>
  <c r="J260" i="3"/>
  <c r="M260" i="3"/>
  <c r="N260" i="3" s="1"/>
  <c r="V260" i="3"/>
  <c r="A261" i="3"/>
  <c r="B261" i="3" s="1"/>
  <c r="W260" i="3" l="1"/>
  <c r="L260" i="3"/>
  <c r="Z261" i="3"/>
  <c r="AA261" i="3"/>
  <c r="P261" i="3"/>
  <c r="Q261" i="3" s="1"/>
  <c r="R261" i="3" s="1"/>
  <c r="S261" i="3" s="1"/>
  <c r="AC261" i="3"/>
  <c r="U260" i="3" l="1"/>
  <c r="Y259" i="3"/>
  <c r="T261" i="3"/>
  <c r="AH261" i="3" s="1"/>
  <c r="E261" i="3" l="1"/>
  <c r="H261" i="3" s="1"/>
  <c r="D261" i="3"/>
  <c r="AG261" i="3"/>
  <c r="K261" i="3" l="1"/>
  <c r="AE261" i="3" s="1"/>
  <c r="F261" i="3"/>
  <c r="G261" i="3"/>
  <c r="I261" i="3" l="1"/>
  <c r="J261" i="3"/>
  <c r="AD261" i="3" s="1"/>
  <c r="M261" i="3"/>
  <c r="N261" i="3" s="1"/>
  <c r="V261" i="3"/>
  <c r="A262" i="3"/>
  <c r="B262" i="3" s="1"/>
  <c r="W261" i="3" l="1"/>
  <c r="L261" i="3"/>
  <c r="AA262" i="3"/>
  <c r="Z262" i="3"/>
  <c r="P262" i="3"/>
  <c r="Q262" i="3" s="1"/>
  <c r="R262" i="3" s="1"/>
  <c r="S262" i="3" s="1"/>
  <c r="AC262" i="3"/>
  <c r="AD262" i="3"/>
  <c r="T262" i="3" l="1"/>
  <c r="AG262" i="3" s="1"/>
  <c r="U261" i="3"/>
  <c r="Y260" i="3"/>
  <c r="E262" i="3" l="1"/>
  <c r="H262" i="3" s="1"/>
  <c r="K262" i="3" s="1"/>
  <c r="AE262" i="3" s="1"/>
  <c r="AH262" i="3"/>
  <c r="D262" i="3"/>
  <c r="F262" i="3" l="1"/>
  <c r="G262" i="3"/>
  <c r="V262" i="3"/>
  <c r="A263" i="3"/>
  <c r="B263" i="3" s="1"/>
  <c r="P263" i="3" l="1"/>
  <c r="Q263" i="3" s="1"/>
  <c r="R263" i="3" s="1"/>
  <c r="S263" i="3" s="1"/>
  <c r="AA263" i="3"/>
  <c r="Z263" i="3"/>
  <c r="AD263" i="3"/>
  <c r="AC263" i="3"/>
  <c r="I262" i="3"/>
  <c r="W262" i="3" s="1"/>
  <c r="J262" i="3"/>
  <c r="M262" i="3"/>
  <c r="N262" i="3" s="1"/>
  <c r="L262" i="3" l="1"/>
  <c r="T263" i="3"/>
  <c r="U262" i="3" l="1"/>
  <c r="E263" i="3" s="1"/>
  <c r="H263" i="3" s="1"/>
  <c r="AH263" i="3"/>
  <c r="AG263" i="3"/>
  <c r="Y261" i="3"/>
  <c r="D263" i="3" l="1"/>
  <c r="G263" i="3" s="1"/>
  <c r="K263" i="3"/>
  <c r="AE263" i="3" s="1"/>
  <c r="F263" i="3" l="1"/>
  <c r="V263" i="3"/>
  <c r="A264" i="3"/>
  <c r="B264" i="3" s="1"/>
  <c r="I263" i="3"/>
  <c r="J263" i="3"/>
  <c r="M263" i="3"/>
  <c r="N263" i="3" s="1"/>
  <c r="W263" i="3" l="1"/>
  <c r="L263" i="3"/>
  <c r="P264" i="3"/>
  <c r="Q264" i="3" s="1"/>
  <c r="R264" i="3" s="1"/>
  <c r="S264" i="3" s="1"/>
  <c r="AA264" i="3"/>
  <c r="AC264" i="3"/>
  <c r="Z264" i="3"/>
  <c r="U263" i="3" l="1"/>
  <c r="Y262" i="3"/>
  <c r="T264" i="3"/>
  <c r="AH264" i="3" s="1"/>
  <c r="AG264" i="3" l="1"/>
  <c r="D264" i="3"/>
  <c r="G264" i="3" s="1"/>
  <c r="E264" i="3"/>
  <c r="H264" i="3" s="1"/>
  <c r="K264" i="3" l="1"/>
  <c r="AE264" i="3" s="1"/>
  <c r="I264" i="3"/>
  <c r="J264" i="3"/>
  <c r="AD264" i="3" s="1"/>
  <c r="M264" i="3"/>
  <c r="N264" i="3" s="1"/>
  <c r="F264" i="3"/>
  <c r="L264" i="3" l="1"/>
  <c r="V264" i="3"/>
  <c r="W264" i="3" s="1"/>
  <c r="A265" i="3"/>
  <c r="B265" i="3" s="1"/>
  <c r="U264" i="3" l="1"/>
  <c r="Y263" i="3"/>
  <c r="P265" i="3"/>
  <c r="Q265" i="3" s="1"/>
  <c r="R265" i="3" s="1"/>
  <c r="S265" i="3" s="1"/>
  <c r="AA265" i="3"/>
  <c r="AD265" i="3"/>
  <c r="Z265" i="3"/>
  <c r="AC265" i="3"/>
  <c r="T265" i="3" l="1"/>
  <c r="AG265" i="3" l="1"/>
  <c r="AH265" i="3"/>
  <c r="D265" i="3"/>
  <c r="E265" i="3"/>
  <c r="H265" i="3" s="1"/>
  <c r="F265" i="3" l="1"/>
  <c r="G265" i="3"/>
  <c r="K265" i="3"/>
  <c r="AE265" i="3" s="1"/>
  <c r="I265" i="3" l="1"/>
  <c r="J265" i="3"/>
  <c r="M265" i="3"/>
  <c r="N265" i="3" s="1"/>
  <c r="V265" i="3"/>
  <c r="A266" i="3"/>
  <c r="B266" i="3" s="1"/>
  <c r="L265" i="3" l="1"/>
  <c r="W265" i="3"/>
  <c r="P266" i="3"/>
  <c r="Q266" i="3" s="1"/>
  <c r="R266" i="3" s="1"/>
  <c r="S266" i="3" s="1"/>
  <c r="AC266" i="3"/>
  <c r="Z266" i="3"/>
  <c r="AA266" i="3"/>
  <c r="AD266" i="3"/>
  <c r="T266" i="3" l="1"/>
  <c r="U265" i="3"/>
  <c r="Y264" i="3"/>
  <c r="E266" i="3" l="1"/>
  <c r="H266" i="3" s="1"/>
  <c r="K266" i="3" s="1"/>
  <c r="AE266" i="3" s="1"/>
  <c r="AH266" i="3"/>
  <c r="AG266" i="3"/>
  <c r="D266" i="3"/>
  <c r="V266" i="3" l="1"/>
  <c r="A267" i="3"/>
  <c r="B267" i="3" s="1"/>
  <c r="F266" i="3"/>
  <c r="G266" i="3"/>
  <c r="I266" i="3" l="1"/>
  <c r="W266" i="3" s="1"/>
  <c r="J266" i="3"/>
  <c r="M266" i="3"/>
  <c r="N266" i="3" s="1"/>
  <c r="AC267" i="3"/>
  <c r="P267" i="3"/>
  <c r="Q267" i="3" s="1"/>
  <c r="R267" i="3" s="1"/>
  <c r="S267" i="3" s="1"/>
  <c r="AA267" i="3"/>
  <c r="Z267" i="3"/>
  <c r="T267" i="3" l="1"/>
  <c r="L266" i="3"/>
  <c r="AH267" i="3" l="1"/>
  <c r="AG267" i="3"/>
  <c r="U266" i="3"/>
  <c r="E267" i="3" s="1"/>
  <c r="H267" i="3" s="1"/>
  <c r="Y265" i="3"/>
  <c r="K267" i="3" l="1"/>
  <c r="AE267" i="3" s="1"/>
  <c r="D267" i="3"/>
  <c r="V267" i="3" l="1"/>
  <c r="A268" i="3"/>
  <c r="B268" i="3" s="1"/>
  <c r="F267" i="3"/>
  <c r="G267" i="3"/>
  <c r="I267" i="3" l="1"/>
  <c r="W267" i="3" s="1"/>
  <c r="J267" i="3"/>
  <c r="AD267" i="3" s="1"/>
  <c r="M267" i="3"/>
  <c r="N267" i="3" s="1"/>
  <c r="AC268" i="3"/>
  <c r="P268" i="3"/>
  <c r="Q268" i="3" s="1"/>
  <c r="R268" i="3" s="1"/>
  <c r="S268" i="3" s="1"/>
  <c r="Z268" i="3"/>
  <c r="AA268" i="3"/>
  <c r="AD268" i="3"/>
  <c r="T268" i="3" l="1"/>
  <c r="L267" i="3"/>
  <c r="U267" i="3" l="1"/>
  <c r="E268" i="3" s="1"/>
  <c r="H268" i="3" s="1"/>
  <c r="AH268" i="3"/>
  <c r="AG268" i="3"/>
  <c r="Y266" i="3"/>
  <c r="K268" i="3" l="1"/>
  <c r="AE268" i="3" s="1"/>
  <c r="D268" i="3"/>
  <c r="V268" i="3" l="1"/>
  <c r="A269" i="3"/>
  <c r="B269" i="3" s="1"/>
  <c r="F268" i="3"/>
  <c r="G268" i="3"/>
  <c r="I268" i="3" l="1"/>
  <c r="W268" i="3" s="1"/>
  <c r="J268" i="3"/>
  <c r="M268" i="3"/>
  <c r="N268" i="3" s="1"/>
  <c r="AD269" i="3"/>
  <c r="P269" i="3"/>
  <c r="Q269" i="3" s="1"/>
  <c r="R269" i="3" s="1"/>
  <c r="S269" i="3" s="1"/>
  <c r="AA269" i="3"/>
  <c r="Z269" i="3"/>
  <c r="AC269" i="3"/>
  <c r="T269" i="3" l="1"/>
  <c r="L268" i="3"/>
  <c r="U268" i="3" l="1"/>
  <c r="D269" i="3" s="1"/>
  <c r="AH269" i="3"/>
  <c r="AG269" i="3"/>
  <c r="Y267" i="3"/>
  <c r="G269" i="3" l="1"/>
  <c r="E269" i="3"/>
  <c r="H269" i="3" s="1"/>
  <c r="F269" i="3" l="1"/>
  <c r="I269" i="3"/>
  <c r="J269" i="3"/>
  <c r="M269" i="3"/>
  <c r="N269" i="3" s="1"/>
  <c r="K269" i="3"/>
  <c r="AE269" i="3" s="1"/>
  <c r="V269" i="3" l="1"/>
  <c r="W269" i="3" s="1"/>
  <c r="A270" i="3"/>
  <c r="B270" i="3" s="1"/>
  <c r="L269" i="3"/>
  <c r="U269" i="3" l="1"/>
  <c r="Y268" i="3"/>
  <c r="AA270" i="3"/>
  <c r="Z270" i="3"/>
  <c r="P270" i="3"/>
  <c r="Q270" i="3" s="1"/>
  <c r="R270" i="3" s="1"/>
  <c r="S270" i="3" s="1"/>
  <c r="AC270" i="3"/>
  <c r="AD270" i="3"/>
  <c r="T270" i="3" l="1"/>
  <c r="AG270" i="3" s="1"/>
  <c r="AH270" i="3" l="1"/>
  <c r="E270" i="3"/>
  <c r="H270" i="3" s="1"/>
  <c r="K270" i="3" s="1"/>
  <c r="AE270" i="3" s="1"/>
  <c r="D270" i="3"/>
  <c r="G270" i="3" s="1"/>
  <c r="F270" i="3" l="1"/>
  <c r="V270" i="3"/>
  <c r="A271" i="3"/>
  <c r="B271" i="3" s="1"/>
  <c r="I270" i="3"/>
  <c r="J270" i="3"/>
  <c r="M270" i="3"/>
  <c r="N270" i="3" s="1"/>
  <c r="L270" i="3" l="1"/>
  <c r="Z271" i="3"/>
  <c r="AA271" i="3"/>
  <c r="P271" i="3"/>
  <c r="Q271" i="3" s="1"/>
  <c r="R271" i="3" s="1"/>
  <c r="S271" i="3" s="1"/>
  <c r="AC271" i="3"/>
  <c r="W270" i="3"/>
  <c r="U270" i="3" l="1"/>
  <c r="Y269" i="3"/>
  <c r="T271" i="3"/>
  <c r="AH271" i="3" s="1"/>
  <c r="AG271" i="3" l="1"/>
  <c r="D271" i="3"/>
  <c r="E271" i="3"/>
  <c r="H271" i="3" s="1"/>
  <c r="K271" i="3" l="1"/>
  <c r="AE271" i="3" s="1"/>
  <c r="F271" i="3"/>
  <c r="G271" i="3"/>
  <c r="I271" i="3" l="1"/>
  <c r="J271" i="3"/>
  <c r="AD271" i="3" s="1"/>
  <c r="M271" i="3"/>
  <c r="N271" i="3" s="1"/>
  <c r="V271" i="3"/>
  <c r="A272" i="3"/>
  <c r="B272" i="3" s="1"/>
  <c r="W271" i="3" l="1"/>
  <c r="L271" i="3"/>
  <c r="AD272" i="3"/>
  <c r="Z272" i="3"/>
  <c r="AA272" i="3"/>
  <c r="P272" i="3"/>
  <c r="Q272" i="3" s="1"/>
  <c r="R272" i="3" s="1"/>
  <c r="S272" i="3" s="1"/>
  <c r="AC272" i="3"/>
  <c r="T272" i="3" l="1"/>
  <c r="U271" i="3"/>
  <c r="Y270" i="3"/>
  <c r="D272" i="3" l="1"/>
  <c r="G272" i="3" s="1"/>
  <c r="E272" i="3"/>
  <c r="H272" i="3" s="1"/>
  <c r="K272" i="3" s="1"/>
  <c r="AE272" i="3" s="1"/>
  <c r="AG272" i="3"/>
  <c r="AH272" i="3"/>
  <c r="F272" i="3" l="1"/>
  <c r="I272" i="3"/>
  <c r="J272" i="3"/>
  <c r="M272" i="3"/>
  <c r="N272" i="3" s="1"/>
  <c r="V272" i="3"/>
  <c r="A273" i="3"/>
  <c r="B273" i="3" s="1"/>
  <c r="W272" i="3" l="1"/>
  <c r="L272" i="3"/>
  <c r="AA273" i="3"/>
  <c r="P273" i="3"/>
  <c r="Q273" i="3" s="1"/>
  <c r="R273" i="3" s="1"/>
  <c r="S273" i="3" s="1"/>
  <c r="Z273" i="3"/>
  <c r="AC273" i="3"/>
  <c r="AD273" i="3"/>
  <c r="T273" i="3" l="1"/>
  <c r="AG273" i="3" s="1"/>
  <c r="U272" i="3"/>
  <c r="Y271" i="3"/>
  <c r="D273" i="3" l="1"/>
  <c r="G273" i="3" s="1"/>
  <c r="AH273" i="3"/>
  <c r="E273" i="3"/>
  <c r="H273" i="3" s="1"/>
  <c r="F273" i="3" l="1"/>
  <c r="I273" i="3"/>
  <c r="J273" i="3"/>
  <c r="M273" i="3"/>
  <c r="N273" i="3" s="1"/>
  <c r="K273" i="3"/>
  <c r="AE273" i="3" s="1"/>
  <c r="L273" i="3" l="1"/>
  <c r="V273" i="3"/>
  <c r="W273" i="3" s="1"/>
  <c r="A274" i="3"/>
  <c r="B274" i="3" s="1"/>
  <c r="P274" i="3" l="1"/>
  <c r="Q274" i="3" s="1"/>
  <c r="R274" i="3" s="1"/>
  <c r="S274" i="3" s="1"/>
  <c r="AC274" i="3"/>
  <c r="Z274" i="3"/>
  <c r="AA274" i="3"/>
  <c r="U273" i="3"/>
  <c r="Y272" i="3"/>
  <c r="T274" i="3" l="1"/>
  <c r="AG274" i="3" s="1"/>
  <c r="D274" i="3" l="1"/>
  <c r="G274" i="3" s="1"/>
  <c r="AH274" i="3"/>
  <c r="E274" i="3"/>
  <c r="H274" i="3" s="1"/>
  <c r="I274" i="3" l="1"/>
  <c r="J274" i="3"/>
  <c r="AD274" i="3" s="1"/>
  <c r="M274" i="3"/>
  <c r="N274" i="3" s="1"/>
  <c r="K274" i="3"/>
  <c r="AE274" i="3" s="1"/>
  <c r="F274" i="3"/>
  <c r="L274" i="3" l="1"/>
  <c r="V274" i="3"/>
  <c r="W274" i="3" s="1"/>
  <c r="A275" i="3"/>
  <c r="B275" i="3" s="1"/>
  <c r="U274" i="3" l="1"/>
  <c r="Y273" i="3"/>
  <c r="AA275" i="3"/>
  <c r="P275" i="3"/>
  <c r="Q275" i="3" s="1"/>
  <c r="R275" i="3" s="1"/>
  <c r="S275" i="3" s="1"/>
  <c r="AD275" i="3"/>
  <c r="Z275" i="3"/>
  <c r="AC275" i="3"/>
  <c r="T275" i="3" l="1"/>
  <c r="AH275" i="3" s="1"/>
  <c r="E275" i="3" l="1"/>
  <c r="H275" i="3" s="1"/>
  <c r="AG275" i="3"/>
  <c r="D275" i="3"/>
  <c r="F275" i="3" l="1"/>
  <c r="G275" i="3"/>
  <c r="K275" i="3"/>
  <c r="AE275" i="3" s="1"/>
  <c r="I275" i="3" l="1"/>
  <c r="J275" i="3"/>
  <c r="M275" i="3"/>
  <c r="N275" i="3" s="1"/>
  <c r="V275" i="3"/>
  <c r="A276" i="3"/>
  <c r="B276" i="3" s="1"/>
  <c r="W275" i="3" l="1"/>
  <c r="L275" i="3"/>
  <c r="AA276" i="3"/>
  <c r="Z276" i="3"/>
  <c r="P276" i="3"/>
  <c r="Q276" i="3" s="1"/>
  <c r="R276" i="3" s="1"/>
  <c r="S276" i="3" s="1"/>
  <c r="AC276" i="3"/>
  <c r="AD276" i="3"/>
  <c r="U275" i="3" l="1"/>
  <c r="Y274" i="3"/>
  <c r="T276" i="3"/>
  <c r="AH276" i="3" s="1"/>
  <c r="D276" i="3" l="1"/>
  <c r="AG276" i="3"/>
  <c r="E276" i="3"/>
  <c r="H276" i="3" s="1"/>
  <c r="F276" i="3" l="1"/>
  <c r="G276" i="3"/>
  <c r="K276" i="3"/>
  <c r="AE276" i="3" s="1"/>
  <c r="I276" i="3" l="1"/>
  <c r="J276" i="3"/>
  <c r="M276" i="3"/>
  <c r="N276" i="3" s="1"/>
  <c r="V276" i="3"/>
  <c r="A277" i="3"/>
  <c r="B277" i="3" s="1"/>
  <c r="W276" i="3" l="1"/>
  <c r="L276" i="3"/>
  <c r="P277" i="3"/>
  <c r="Q277" i="3" s="1"/>
  <c r="R277" i="3" s="1"/>
  <c r="S277" i="3" s="1"/>
  <c r="AC277" i="3"/>
  <c r="Z277" i="3"/>
  <c r="AA277" i="3"/>
  <c r="U276" i="3" l="1"/>
  <c r="Y275" i="3"/>
  <c r="T277" i="3"/>
  <c r="AG277" i="3" s="1"/>
  <c r="D277" i="3" l="1"/>
  <c r="G277" i="3" s="1"/>
  <c r="E277" i="3"/>
  <c r="H277" i="3" s="1"/>
  <c r="K277" i="3" s="1"/>
  <c r="AE277" i="3" s="1"/>
  <c r="AH277" i="3"/>
  <c r="F277" i="3" l="1"/>
  <c r="V277" i="3"/>
  <c r="A278" i="3"/>
  <c r="B278" i="3" s="1"/>
  <c r="I277" i="3"/>
  <c r="J277" i="3"/>
  <c r="AD277" i="3" s="1"/>
  <c r="M277" i="3"/>
  <c r="N277" i="3" s="1"/>
  <c r="W277" i="3" l="1"/>
  <c r="L277" i="3"/>
  <c r="AD278" i="3"/>
  <c r="AC278" i="3"/>
  <c r="Z278" i="3"/>
  <c r="P278" i="3"/>
  <c r="Q278" i="3" s="1"/>
  <c r="R278" i="3" s="1"/>
  <c r="S278" i="3" s="1"/>
  <c r="AA278" i="3"/>
  <c r="T278" i="3" l="1"/>
  <c r="U277" i="3"/>
  <c r="Y276" i="3"/>
  <c r="E278" i="3" l="1"/>
  <c r="H278" i="3" s="1"/>
  <c r="K278" i="3" s="1"/>
  <c r="AE278" i="3" s="1"/>
  <c r="D278" i="3"/>
  <c r="AH278" i="3"/>
  <c r="AG278" i="3"/>
  <c r="V278" i="3" l="1"/>
  <c r="A279" i="3"/>
  <c r="B279" i="3" s="1"/>
  <c r="F278" i="3"/>
  <c r="G278" i="3"/>
  <c r="I278" i="3" l="1"/>
  <c r="W278" i="3" s="1"/>
  <c r="J278" i="3"/>
  <c r="M278" i="3"/>
  <c r="N278" i="3" s="1"/>
  <c r="P279" i="3"/>
  <c r="Q279" i="3" s="1"/>
  <c r="R279" i="3" s="1"/>
  <c r="S279" i="3" s="1"/>
  <c r="AA279" i="3"/>
  <c r="AD279" i="3"/>
  <c r="Z279" i="3"/>
  <c r="AC279" i="3"/>
  <c r="T279" i="3" l="1"/>
  <c r="L278" i="3"/>
  <c r="U278" i="3" l="1"/>
  <c r="D279" i="3" s="1"/>
  <c r="AG279" i="3"/>
  <c r="AH279" i="3"/>
  <c r="Y277" i="3"/>
  <c r="G279" i="3" l="1"/>
  <c r="E279" i="3"/>
  <c r="H279" i="3" s="1"/>
  <c r="I279" i="3" l="1"/>
  <c r="J279" i="3"/>
  <c r="M279" i="3"/>
  <c r="N279" i="3" s="1"/>
  <c r="F279" i="3"/>
  <c r="K279" i="3"/>
  <c r="AE279" i="3" s="1"/>
  <c r="V279" i="3" l="1"/>
  <c r="W279" i="3" s="1"/>
  <c r="A280" i="3"/>
  <c r="B280" i="3" s="1"/>
  <c r="L279" i="3"/>
  <c r="U279" i="3" l="1"/>
  <c r="Y278" i="3"/>
  <c r="AA280" i="3"/>
  <c r="P280" i="3"/>
  <c r="Q280" i="3" s="1"/>
  <c r="R280" i="3" s="1"/>
  <c r="S280" i="3" s="1"/>
  <c r="AD280" i="3"/>
  <c r="AC280" i="3"/>
  <c r="Z280" i="3"/>
  <c r="T280" i="3" l="1"/>
  <c r="AH280" i="3" s="1"/>
  <c r="D280" i="3" l="1"/>
  <c r="G280" i="3" s="1"/>
  <c r="E280" i="3"/>
  <c r="H280" i="3" s="1"/>
  <c r="K280" i="3" s="1"/>
  <c r="AE280" i="3" s="1"/>
  <c r="AG280" i="3"/>
  <c r="F280" i="3" l="1"/>
  <c r="I280" i="3"/>
  <c r="J280" i="3"/>
  <c r="M280" i="3"/>
  <c r="N280" i="3" s="1"/>
  <c r="V280" i="3"/>
  <c r="A281" i="3"/>
  <c r="B281" i="3" s="1"/>
  <c r="L280" i="3" l="1"/>
  <c r="W280" i="3"/>
  <c r="AC281" i="3"/>
  <c r="AA281" i="3"/>
  <c r="P281" i="3"/>
  <c r="Q281" i="3" s="1"/>
  <c r="R281" i="3" s="1"/>
  <c r="S281" i="3" s="1"/>
  <c r="Z281" i="3"/>
  <c r="T281" i="3" l="1"/>
  <c r="AG281" i="3" s="1"/>
  <c r="U280" i="3"/>
  <c r="Y279" i="3"/>
  <c r="D281" i="3" l="1"/>
  <c r="E281" i="3"/>
  <c r="H281" i="3" s="1"/>
  <c r="AH281" i="3"/>
  <c r="F281" i="3" l="1"/>
  <c r="G281" i="3"/>
  <c r="K281" i="3"/>
  <c r="AE281" i="3" s="1"/>
  <c r="I281" i="3" l="1"/>
  <c r="J281" i="3"/>
  <c r="AD281" i="3" s="1"/>
  <c r="M281" i="3"/>
  <c r="N281" i="3" s="1"/>
  <c r="V281" i="3"/>
  <c r="A282" i="3"/>
  <c r="B282" i="3" s="1"/>
  <c r="W281" i="3" l="1"/>
  <c r="L281" i="3"/>
  <c r="AC282" i="3"/>
  <c r="Z282" i="3"/>
  <c r="AD282" i="3"/>
  <c r="P282" i="3"/>
  <c r="Q282" i="3" s="1"/>
  <c r="R282" i="3" s="1"/>
  <c r="S282" i="3" s="1"/>
  <c r="AA282" i="3"/>
  <c r="U281" i="3" l="1"/>
  <c r="Y280" i="3"/>
  <c r="T282" i="3"/>
  <c r="D282" i="3" l="1"/>
  <c r="G282" i="3" s="1"/>
  <c r="E282" i="3"/>
  <c r="H282" i="3" s="1"/>
  <c r="AH282" i="3"/>
  <c r="AG282" i="3"/>
  <c r="F282" i="3" l="1"/>
  <c r="I282" i="3"/>
  <c r="J282" i="3"/>
  <c r="M282" i="3"/>
  <c r="N282" i="3" s="1"/>
  <c r="K282" i="3"/>
  <c r="AE282" i="3" s="1"/>
  <c r="V282" i="3" l="1"/>
  <c r="W282" i="3" s="1"/>
  <c r="A283" i="3"/>
  <c r="B283" i="3" s="1"/>
  <c r="L282" i="3"/>
  <c r="U282" i="3" l="1"/>
  <c r="Y281" i="3"/>
  <c r="Z283" i="3"/>
  <c r="AC283" i="3"/>
  <c r="AD283" i="3"/>
  <c r="P283" i="3"/>
  <c r="Q283" i="3" s="1"/>
  <c r="R283" i="3" s="1"/>
  <c r="S283" i="3" s="1"/>
  <c r="AA283" i="3"/>
  <c r="T283" i="3" l="1"/>
  <c r="AH283" i="3" s="1"/>
  <c r="AG283" i="3" l="1"/>
  <c r="E283" i="3"/>
  <c r="H283" i="3" s="1"/>
  <c r="K283" i="3" s="1"/>
  <c r="AE283" i="3" s="1"/>
  <c r="D283" i="3"/>
  <c r="F283" i="3" l="1"/>
  <c r="G283" i="3"/>
  <c r="J283" i="3" s="1"/>
  <c r="V283" i="3"/>
  <c r="A284" i="3"/>
  <c r="B284" i="3" s="1"/>
  <c r="M283" i="3" l="1"/>
  <c r="N283" i="3" s="1"/>
  <c r="I283" i="3"/>
  <c r="W283" i="3" s="1"/>
  <c r="L283" i="3"/>
  <c r="AC284" i="3"/>
  <c r="AA284" i="3"/>
  <c r="P284" i="3"/>
  <c r="Q284" i="3" s="1"/>
  <c r="R284" i="3" s="1"/>
  <c r="S284" i="3" s="1"/>
  <c r="Z284" i="3"/>
  <c r="T284" i="3" l="1"/>
  <c r="AH284" i="3" s="1"/>
  <c r="U283" i="3"/>
  <c r="Y282" i="3"/>
  <c r="AG284" i="3" l="1"/>
  <c r="D284" i="3"/>
  <c r="E284" i="3"/>
  <c r="H284" i="3" s="1"/>
  <c r="F284" i="3" l="1"/>
  <c r="G284" i="3"/>
  <c r="K284" i="3"/>
  <c r="AE284" i="3" s="1"/>
  <c r="V284" i="3" l="1"/>
  <c r="A285" i="3"/>
  <c r="B285" i="3" s="1"/>
  <c r="I284" i="3"/>
  <c r="J284" i="3"/>
  <c r="AD284" i="3" s="1"/>
  <c r="M284" i="3"/>
  <c r="N284" i="3" s="1"/>
  <c r="W284" i="3" l="1"/>
  <c r="L284" i="3"/>
  <c r="AA285" i="3"/>
  <c r="P285" i="3"/>
  <c r="Q285" i="3" s="1"/>
  <c r="R285" i="3" s="1"/>
  <c r="S285" i="3" s="1"/>
  <c r="Z285" i="3"/>
  <c r="AC285" i="3"/>
  <c r="U284" i="3" l="1"/>
  <c r="Y283" i="3"/>
  <c r="T285" i="3"/>
  <c r="E285" i="3" l="1"/>
  <c r="H285" i="3" s="1"/>
  <c r="K285" i="3" s="1"/>
  <c r="AE285" i="3" s="1"/>
  <c r="AH285" i="3"/>
  <c r="D285" i="3"/>
  <c r="G285" i="3" s="1"/>
  <c r="AG285" i="3"/>
  <c r="F285" i="3" l="1"/>
  <c r="V285" i="3"/>
  <c r="A286" i="3"/>
  <c r="B286" i="3" s="1"/>
  <c r="I285" i="3"/>
  <c r="J285" i="3"/>
  <c r="AD285" i="3" s="1"/>
  <c r="M285" i="3"/>
  <c r="N285" i="3" s="1"/>
  <c r="W285" i="3" l="1"/>
  <c r="L285" i="3"/>
  <c r="AA286" i="3"/>
  <c r="P286" i="3"/>
  <c r="Q286" i="3" s="1"/>
  <c r="R286" i="3" s="1"/>
  <c r="S286" i="3" s="1"/>
  <c r="AC286" i="3"/>
  <c r="Z286" i="3"/>
  <c r="T286" i="3" l="1"/>
  <c r="AH286" i="3" s="1"/>
  <c r="U285" i="3"/>
  <c r="Y284" i="3"/>
  <c r="D286" i="3" l="1"/>
  <c r="G286" i="3" s="1"/>
  <c r="AG286" i="3"/>
  <c r="E286" i="3"/>
  <c r="H286" i="3" s="1"/>
  <c r="F286" i="3" l="1"/>
  <c r="I286" i="3"/>
  <c r="J286" i="3"/>
  <c r="AD286" i="3" s="1"/>
  <c r="M286" i="3"/>
  <c r="N286" i="3" s="1"/>
  <c r="K286" i="3"/>
  <c r="AE286" i="3" s="1"/>
  <c r="V286" i="3" l="1"/>
  <c r="W286" i="3" s="1"/>
  <c r="A287" i="3"/>
  <c r="B287" i="3" s="1"/>
  <c r="L286" i="3"/>
  <c r="U286" i="3" l="1"/>
  <c r="Y285" i="3"/>
  <c r="P287" i="3"/>
  <c r="Q287" i="3" s="1"/>
  <c r="R287" i="3" s="1"/>
  <c r="S287" i="3" s="1"/>
  <c r="AA287" i="3"/>
  <c r="Z287" i="3"/>
  <c r="AC287" i="3"/>
  <c r="T287" i="3" l="1"/>
  <c r="D287" i="3" s="1"/>
  <c r="G287" i="3" l="1"/>
  <c r="AH287" i="3"/>
  <c r="AG287" i="3"/>
  <c r="E287" i="3"/>
  <c r="H287" i="3" s="1"/>
  <c r="F287" i="3" l="1"/>
  <c r="K287" i="3"/>
  <c r="AE287" i="3" s="1"/>
  <c r="I287" i="3"/>
  <c r="J287" i="3"/>
  <c r="AD287" i="3" s="1"/>
  <c r="M287" i="3"/>
  <c r="N287" i="3" s="1"/>
  <c r="L287" i="3" l="1"/>
  <c r="V287" i="3"/>
  <c r="W287" i="3" s="1"/>
  <c r="A288" i="3"/>
  <c r="B288" i="3" s="1"/>
  <c r="U287" i="3" l="1"/>
  <c r="Y286" i="3"/>
  <c r="P288" i="3"/>
  <c r="Q288" i="3" s="1"/>
  <c r="R288" i="3" s="1"/>
  <c r="S288" i="3" s="1"/>
  <c r="AA288" i="3"/>
  <c r="AC288" i="3"/>
  <c r="Z288" i="3"/>
  <c r="T288" i="3" l="1"/>
  <c r="D288" i="3" s="1"/>
  <c r="AG288" i="3" l="1"/>
  <c r="AH288" i="3"/>
  <c r="E288" i="3"/>
  <c r="H288" i="3" s="1"/>
  <c r="K288" i="3" s="1"/>
  <c r="AE288" i="3" s="1"/>
  <c r="G288" i="3"/>
  <c r="F288" i="3" l="1"/>
  <c r="I288" i="3"/>
  <c r="J288" i="3"/>
  <c r="AD288" i="3" s="1"/>
  <c r="M288" i="3"/>
  <c r="N288" i="3" s="1"/>
  <c r="V288" i="3"/>
  <c r="A289" i="3"/>
  <c r="B289" i="3" s="1"/>
  <c r="W288" i="3" l="1"/>
  <c r="L288" i="3"/>
  <c r="P289" i="3"/>
  <c r="Q289" i="3" s="1"/>
  <c r="R289" i="3" s="1"/>
  <c r="S289" i="3" s="1"/>
  <c r="AA289" i="3"/>
  <c r="AC289" i="3"/>
  <c r="Z289" i="3"/>
  <c r="T289" i="3" l="1"/>
  <c r="U288" i="3"/>
  <c r="Y287" i="3"/>
  <c r="E289" i="3" l="1"/>
  <c r="H289" i="3" s="1"/>
  <c r="K289" i="3" s="1"/>
  <c r="AE289" i="3" s="1"/>
  <c r="AH289" i="3"/>
  <c r="AG289" i="3"/>
  <c r="D289" i="3"/>
  <c r="V289" i="3" l="1"/>
  <c r="A290" i="3"/>
  <c r="B290" i="3" s="1"/>
  <c r="F289" i="3"/>
  <c r="G289" i="3"/>
  <c r="I289" i="3" l="1"/>
  <c r="W289" i="3" s="1"/>
  <c r="J289" i="3"/>
  <c r="AD289" i="3" s="1"/>
  <c r="M289" i="3"/>
  <c r="N289" i="3" s="1"/>
  <c r="AA290" i="3"/>
  <c r="AC290" i="3"/>
  <c r="Z290" i="3"/>
  <c r="P290" i="3"/>
  <c r="Q290" i="3" s="1"/>
  <c r="R290" i="3" s="1"/>
  <c r="S290" i="3" s="1"/>
  <c r="T290" i="3" l="1"/>
  <c r="L289" i="3"/>
  <c r="U289" i="3" l="1"/>
  <c r="E290" i="3" s="1"/>
  <c r="H290" i="3" s="1"/>
  <c r="AH290" i="3"/>
  <c r="AG290" i="3"/>
  <c r="Y288" i="3"/>
  <c r="D290" i="3" l="1"/>
  <c r="G290" i="3" s="1"/>
  <c r="K290" i="3"/>
  <c r="AE290" i="3" s="1"/>
  <c r="F290" i="3" l="1"/>
  <c r="I290" i="3"/>
  <c r="J290" i="3"/>
  <c r="AD290" i="3" s="1"/>
  <c r="M290" i="3"/>
  <c r="N290" i="3" s="1"/>
  <c r="V290" i="3"/>
  <c r="A291" i="3"/>
  <c r="B291" i="3" s="1"/>
  <c r="L290" i="3" l="1"/>
  <c r="W290" i="3"/>
  <c r="P291" i="3"/>
  <c r="Q291" i="3" s="1"/>
  <c r="R291" i="3" s="1"/>
  <c r="S291" i="3" s="1"/>
  <c r="Z291" i="3"/>
  <c r="AA291" i="3"/>
  <c r="AC291" i="3"/>
  <c r="U290" i="3" l="1"/>
  <c r="Y289" i="3"/>
  <c r="T291" i="3"/>
  <c r="AG291" i="3" s="1"/>
  <c r="D291" i="3" l="1"/>
  <c r="E291" i="3"/>
  <c r="H291" i="3" s="1"/>
  <c r="AH291" i="3"/>
  <c r="K291" i="3" l="1"/>
  <c r="AE291" i="3" s="1"/>
  <c r="F291" i="3"/>
  <c r="G291" i="3"/>
  <c r="I291" i="3" l="1"/>
  <c r="J291" i="3"/>
  <c r="AD291" i="3" s="1"/>
  <c r="M291" i="3"/>
  <c r="N291" i="3" s="1"/>
  <c r="V291" i="3"/>
  <c r="A292" i="3"/>
  <c r="B292" i="3" s="1"/>
  <c r="W291" i="3" l="1"/>
  <c r="L291" i="3"/>
  <c r="Z292" i="3"/>
  <c r="AC292" i="3"/>
  <c r="AA292" i="3"/>
  <c r="P292" i="3"/>
  <c r="Q292" i="3" s="1"/>
  <c r="R292" i="3" s="1"/>
  <c r="S292" i="3" s="1"/>
  <c r="U291" i="3" l="1"/>
  <c r="Y290" i="3"/>
  <c r="T292" i="3"/>
  <c r="E292" i="3" l="1"/>
  <c r="H292" i="3" s="1"/>
  <c r="K292" i="3" s="1"/>
  <c r="AE292" i="3" s="1"/>
  <c r="D292" i="3"/>
  <c r="AG292" i="3"/>
  <c r="AH292" i="3"/>
  <c r="V292" i="3" l="1"/>
  <c r="A293" i="3"/>
  <c r="B293" i="3" s="1"/>
  <c r="F292" i="3"/>
  <c r="G292" i="3"/>
  <c r="I292" i="3" l="1"/>
  <c r="W292" i="3" s="1"/>
  <c r="J292" i="3"/>
  <c r="AD292" i="3" s="1"/>
  <c r="M292" i="3"/>
  <c r="N292" i="3" s="1"/>
  <c r="Z293" i="3"/>
  <c r="AC293" i="3"/>
  <c r="P293" i="3"/>
  <c r="Q293" i="3" s="1"/>
  <c r="R293" i="3" s="1"/>
  <c r="S293" i="3" s="1"/>
  <c r="AA293" i="3"/>
  <c r="L292" i="3" l="1"/>
  <c r="T293" i="3"/>
  <c r="U292" i="3" l="1"/>
  <c r="E293" i="3" s="1"/>
  <c r="H293" i="3" s="1"/>
  <c r="AH293" i="3"/>
  <c r="AG293" i="3"/>
  <c r="Y291" i="3"/>
  <c r="K293" i="3" l="1"/>
  <c r="AE293" i="3" s="1"/>
  <c r="D293" i="3"/>
  <c r="V293" i="3" l="1"/>
  <c r="A294" i="3"/>
  <c r="B294" i="3" s="1"/>
  <c r="F293" i="3"/>
  <c r="G293" i="3"/>
  <c r="I293" i="3" l="1"/>
  <c r="W293" i="3" s="1"/>
  <c r="J293" i="3"/>
  <c r="AD293" i="3" s="1"/>
  <c r="M293" i="3"/>
  <c r="N293" i="3" s="1"/>
  <c r="AA294" i="3"/>
  <c r="P294" i="3"/>
  <c r="Q294" i="3" s="1"/>
  <c r="R294" i="3" s="1"/>
  <c r="S294" i="3" s="1"/>
  <c r="Z294" i="3"/>
  <c r="AC294" i="3"/>
  <c r="L293" i="3" l="1"/>
  <c r="T294" i="3"/>
  <c r="AG294" i="3" l="1"/>
  <c r="U293" i="3"/>
  <c r="E294" i="3" s="1"/>
  <c r="H294" i="3" s="1"/>
  <c r="AH294" i="3"/>
  <c r="Y292" i="3"/>
  <c r="D294" i="3" l="1"/>
  <c r="G294" i="3" s="1"/>
  <c r="K294" i="3"/>
  <c r="AE294" i="3" s="1"/>
  <c r="F294" i="3" l="1"/>
  <c r="I294" i="3"/>
  <c r="J294" i="3"/>
  <c r="AD294" i="3" s="1"/>
  <c r="M294" i="3"/>
  <c r="N294" i="3" s="1"/>
  <c r="V294" i="3"/>
  <c r="A295" i="3"/>
  <c r="B295" i="3" s="1"/>
  <c r="L294" i="3" l="1"/>
  <c r="W294" i="3"/>
  <c r="AA295" i="3"/>
  <c r="AD295" i="3"/>
  <c r="P295" i="3"/>
  <c r="Q295" i="3" s="1"/>
  <c r="R295" i="3" s="1"/>
  <c r="S295" i="3" s="1"/>
  <c r="AC295" i="3"/>
  <c r="Z295" i="3"/>
  <c r="U294" i="3" l="1"/>
  <c r="Y293" i="3"/>
  <c r="T295" i="3"/>
  <c r="AG295" i="3" s="1"/>
  <c r="D295" i="3" l="1"/>
  <c r="AH295" i="3"/>
  <c r="E295" i="3"/>
  <c r="H295" i="3" s="1"/>
  <c r="F295" i="3" l="1"/>
  <c r="G295" i="3"/>
  <c r="K295" i="3"/>
  <c r="AE295" i="3" s="1"/>
  <c r="V295" i="3" l="1"/>
  <c r="A296" i="3"/>
  <c r="B296" i="3" s="1"/>
  <c r="I295" i="3"/>
  <c r="J295" i="3"/>
  <c r="M295" i="3"/>
  <c r="N295" i="3" s="1"/>
  <c r="L295" i="3" l="1"/>
  <c r="AC296" i="3"/>
  <c r="Z296" i="3"/>
  <c r="AD296" i="3"/>
  <c r="P296" i="3"/>
  <c r="Q296" i="3" s="1"/>
  <c r="R296" i="3" s="1"/>
  <c r="S296" i="3" s="1"/>
  <c r="AA296" i="3"/>
  <c r="W295" i="3"/>
  <c r="T296" i="3" l="1"/>
  <c r="U295" i="3"/>
  <c r="Y294" i="3"/>
  <c r="D296" i="3" l="1"/>
  <c r="G296" i="3" s="1"/>
  <c r="AG296" i="3"/>
  <c r="AH296" i="3"/>
  <c r="E296" i="3"/>
  <c r="H296" i="3" s="1"/>
  <c r="F296" i="3" l="1"/>
  <c r="I296" i="3"/>
  <c r="J296" i="3"/>
  <c r="M296" i="3"/>
  <c r="N296" i="3" s="1"/>
  <c r="K296" i="3"/>
  <c r="AE296" i="3" s="1"/>
  <c r="V296" i="3" l="1"/>
  <c r="W296" i="3" s="1"/>
  <c r="A297" i="3"/>
  <c r="B297" i="3" s="1"/>
  <c r="L296" i="3"/>
  <c r="U296" i="3" l="1"/>
  <c r="Y295" i="3"/>
  <c r="AA297" i="3"/>
  <c r="P297" i="3"/>
  <c r="Q297" i="3" s="1"/>
  <c r="R297" i="3" s="1"/>
  <c r="S297" i="3" s="1"/>
  <c r="Z297" i="3"/>
  <c r="AC297" i="3"/>
  <c r="T297" i="3" l="1"/>
  <c r="E297" i="3" s="1"/>
  <c r="H297" i="3" s="1"/>
  <c r="D297" i="3" l="1"/>
  <c r="F297" i="3" s="1"/>
  <c r="AG297" i="3"/>
  <c r="K297" i="3"/>
  <c r="AE297" i="3" s="1"/>
  <c r="AH297" i="3"/>
  <c r="G297" i="3" l="1"/>
  <c r="M297" i="3" s="1"/>
  <c r="N297" i="3" s="1"/>
  <c r="V297" i="3"/>
  <c r="A298" i="3"/>
  <c r="B298" i="3" s="1"/>
  <c r="J297" i="3" l="1"/>
  <c r="I297" i="3"/>
  <c r="W297" i="3" s="1"/>
  <c r="Z298" i="3"/>
  <c r="AD298" i="3"/>
  <c r="P298" i="3"/>
  <c r="Q298" i="3" s="1"/>
  <c r="R298" i="3" s="1"/>
  <c r="S298" i="3" s="1"/>
  <c r="AA298" i="3"/>
  <c r="AC298" i="3"/>
  <c r="L297" i="3" l="1"/>
  <c r="AD297" i="3"/>
  <c r="T298" i="3"/>
  <c r="U297" i="3"/>
  <c r="Y296" i="3"/>
  <c r="E298" i="3" l="1"/>
  <c r="H298" i="3" s="1"/>
  <c r="K298" i="3" s="1"/>
  <c r="AE298" i="3" s="1"/>
  <c r="AH298" i="3"/>
  <c r="D298" i="3"/>
  <c r="AG298" i="3"/>
  <c r="F298" i="3" l="1"/>
  <c r="G298" i="3"/>
  <c r="V298" i="3"/>
  <c r="A299" i="3"/>
  <c r="B299" i="3" s="1"/>
  <c r="I298" i="3" l="1"/>
  <c r="W298" i="3" s="1"/>
  <c r="J298" i="3"/>
  <c r="M298" i="3"/>
  <c r="N298" i="3" s="1"/>
  <c r="Z299" i="3"/>
  <c r="AD299" i="3"/>
  <c r="P299" i="3"/>
  <c r="Q299" i="3" s="1"/>
  <c r="R299" i="3" s="1"/>
  <c r="S299" i="3" s="1"/>
  <c r="AA299" i="3"/>
  <c r="AC299" i="3"/>
  <c r="L298" i="3" l="1"/>
  <c r="T299" i="3"/>
  <c r="AG299" i="3" l="1"/>
  <c r="U298" i="3"/>
  <c r="E299" i="3" s="1"/>
  <c r="H299" i="3" s="1"/>
  <c r="AH299" i="3"/>
  <c r="Y297" i="3"/>
  <c r="D299" i="3" l="1"/>
  <c r="G299" i="3" s="1"/>
  <c r="K299" i="3"/>
  <c r="AE299" i="3" s="1"/>
  <c r="F299" i="3" l="1"/>
  <c r="I299" i="3"/>
  <c r="J299" i="3"/>
  <c r="M299" i="3"/>
  <c r="N299" i="3" s="1"/>
  <c r="V299" i="3"/>
  <c r="A300" i="3"/>
  <c r="B300" i="3" s="1"/>
  <c r="W299" i="3" l="1"/>
  <c r="L299" i="3"/>
  <c r="Z300" i="3"/>
  <c r="P300" i="3"/>
  <c r="Q300" i="3" s="1"/>
  <c r="R300" i="3" s="1"/>
  <c r="S300" i="3" s="1"/>
  <c r="AD300" i="3"/>
  <c r="AA300" i="3"/>
  <c r="AC300" i="3"/>
  <c r="U299" i="3" l="1"/>
  <c r="Y298" i="3"/>
  <c r="T300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I300" i="3" l="1"/>
  <c r="W300" i="3" s="1"/>
  <c r="J300" i="3"/>
  <c r="M300" i="3"/>
  <c r="N300" i="3" s="1"/>
  <c r="AC301" i="3"/>
  <c r="Z301" i="3"/>
  <c r="AA301" i="3"/>
  <c r="P301" i="3"/>
  <c r="Q301" i="3" s="1"/>
  <c r="R301" i="3" s="1"/>
  <c r="S301" i="3" s="1"/>
  <c r="L300" i="3" l="1"/>
  <c r="T301" i="3"/>
  <c r="AH301" i="3" l="1"/>
  <c r="U300" i="3"/>
  <c r="D301" i="3" s="1"/>
  <c r="AG301" i="3"/>
  <c r="Y299" i="3"/>
  <c r="E301" i="3" l="1"/>
  <c r="H301" i="3" s="1"/>
  <c r="K301" i="3" s="1"/>
  <c r="AE301" i="3" s="1"/>
  <c r="G301" i="3"/>
  <c r="F301" i="3" l="1"/>
  <c r="I301" i="3"/>
  <c r="J301" i="3"/>
  <c r="AD301" i="3" s="1"/>
  <c r="M301" i="3"/>
  <c r="N301" i="3" s="1"/>
  <c r="V301" i="3"/>
  <c r="A302" i="3"/>
  <c r="B302" i="3" s="1"/>
  <c r="W301" i="3" l="1"/>
  <c r="L301" i="3"/>
  <c r="P302" i="3"/>
  <c r="Q302" i="3" s="1"/>
  <c r="R302" i="3" s="1"/>
  <c r="S302" i="3" s="1"/>
  <c r="AA302" i="3"/>
  <c r="AC302" i="3"/>
  <c r="AD302" i="3"/>
  <c r="Z302" i="3"/>
  <c r="U301" i="3" l="1"/>
  <c r="Y300" i="3"/>
  <c r="T302" i="3"/>
  <c r="AG302" i="3" s="1"/>
  <c r="AH302" i="3" l="1"/>
  <c r="D302" i="3"/>
  <c r="E302" i="3"/>
  <c r="H302" i="3" s="1"/>
  <c r="K302" i="3" s="1"/>
  <c r="AE302" i="3" s="1"/>
  <c r="F302" i="3" l="1"/>
  <c r="G302" i="3"/>
  <c r="M302" i="3" s="1"/>
  <c r="N302" i="3" s="1"/>
  <c r="V302" i="3"/>
  <c r="A303" i="3"/>
  <c r="B303" i="3" s="1"/>
  <c r="I302" i="3" l="1"/>
  <c r="W302" i="3" s="1"/>
  <c r="J302" i="3"/>
  <c r="L302" i="3" s="1"/>
  <c r="AD303" i="3"/>
  <c r="Z303" i="3"/>
  <c r="P303" i="3"/>
  <c r="Q303" i="3" s="1"/>
  <c r="R303" i="3" s="1"/>
  <c r="S303" i="3" s="1"/>
  <c r="AA303" i="3"/>
  <c r="AC303" i="3"/>
  <c r="T303" i="3" l="1"/>
  <c r="U302" i="3"/>
  <c r="Y301" i="3"/>
  <c r="E303" i="3" l="1"/>
  <c r="H303" i="3" s="1"/>
  <c r="K303" i="3" s="1"/>
  <c r="AE303" i="3" s="1"/>
  <c r="D303" i="3"/>
  <c r="G303" i="3" s="1"/>
  <c r="AH303" i="3"/>
  <c r="AG303" i="3"/>
  <c r="F303" i="3" l="1"/>
  <c r="I303" i="3"/>
  <c r="J303" i="3"/>
  <c r="M303" i="3"/>
  <c r="N303" i="3" s="1"/>
  <c r="V303" i="3"/>
  <c r="A304" i="3"/>
  <c r="B304" i="3" s="1"/>
  <c r="W303" i="3" l="1"/>
  <c r="L303" i="3"/>
  <c r="Z304" i="3"/>
  <c r="P304" i="3"/>
  <c r="Q304" i="3" s="1"/>
  <c r="R304" i="3" s="1"/>
  <c r="S304" i="3" s="1"/>
  <c r="AC304" i="3"/>
  <c r="AA304" i="3"/>
  <c r="U303" i="3" l="1"/>
  <c r="Y302" i="3"/>
  <c r="T304" i="3"/>
  <c r="AH304" i="3" s="1"/>
  <c r="AG304" i="3" l="1"/>
  <c r="D304" i="3"/>
  <c r="G304" i="3" s="1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L304" i="3"/>
  <c r="Z305" i="3"/>
  <c r="AA305" i="3"/>
  <c r="P305" i="3"/>
  <c r="Q305" i="3" s="1"/>
  <c r="R305" i="3" s="1"/>
  <c r="S305" i="3" s="1"/>
  <c r="AC305" i="3"/>
  <c r="AD305" i="3"/>
  <c r="U304" i="3" l="1"/>
  <c r="Y303" i="3"/>
  <c r="T305" i="3"/>
  <c r="AG305" i="3" s="1"/>
  <c r="AH305" i="3" l="1"/>
  <c r="E305" i="3"/>
  <c r="H305" i="3" s="1"/>
  <c r="K305" i="3" s="1"/>
  <c r="AE305" i="3" s="1"/>
  <c r="D305" i="3"/>
  <c r="V305" i="3" l="1"/>
  <c r="A306" i="3"/>
  <c r="B306" i="3" s="1"/>
  <c r="F305" i="3"/>
  <c r="G305" i="3"/>
  <c r="I305" i="3" l="1"/>
  <c r="W305" i="3" s="1"/>
  <c r="J305" i="3"/>
  <c r="M305" i="3"/>
  <c r="N305" i="3" s="1"/>
  <c r="AA306" i="3"/>
  <c r="Z306" i="3"/>
  <c r="P306" i="3"/>
  <c r="Q306" i="3" s="1"/>
  <c r="R306" i="3" s="1"/>
  <c r="S306" i="3" s="1"/>
  <c r="AC306" i="3"/>
  <c r="AD306" i="3"/>
  <c r="T306" i="3" l="1"/>
  <c r="L305" i="3"/>
  <c r="U305" i="3" l="1"/>
  <c r="E306" i="3" s="1"/>
  <c r="H306" i="3" s="1"/>
  <c r="AH306" i="3"/>
  <c r="AG306" i="3"/>
  <c r="Y304" i="3"/>
  <c r="D306" i="3" l="1"/>
  <c r="G306" i="3" s="1"/>
  <c r="K306" i="3"/>
  <c r="AE306" i="3" s="1"/>
  <c r="F306" i="3" l="1"/>
  <c r="I306" i="3"/>
  <c r="J306" i="3"/>
  <c r="M306" i="3"/>
  <c r="N306" i="3" s="1"/>
  <c r="V306" i="3"/>
  <c r="A307" i="3"/>
  <c r="B307" i="3" s="1"/>
  <c r="W306" i="3" l="1"/>
  <c r="L306" i="3"/>
  <c r="AC307" i="3"/>
  <c r="P307" i="3"/>
  <c r="Q307" i="3" s="1"/>
  <c r="R307" i="3" s="1"/>
  <c r="S307" i="3" s="1"/>
  <c r="AA307" i="3"/>
  <c r="Z307" i="3"/>
  <c r="T307" i="3" l="1"/>
  <c r="AH307" i="3" s="1"/>
  <c r="U306" i="3"/>
  <c r="Y305" i="3"/>
  <c r="D307" i="3" l="1"/>
  <c r="E307" i="3"/>
  <c r="H307" i="3" s="1"/>
  <c r="AG307" i="3"/>
  <c r="F307" i="3" l="1"/>
  <c r="G307" i="3"/>
  <c r="K307" i="3"/>
  <c r="AE307" i="3" s="1"/>
  <c r="I307" i="3" l="1"/>
  <c r="J307" i="3"/>
  <c r="AD307" i="3" s="1"/>
  <c r="M307" i="3"/>
  <c r="N307" i="3" s="1"/>
  <c r="V307" i="3"/>
  <c r="A308" i="3"/>
  <c r="B308" i="3" s="1"/>
  <c r="L307" i="3" l="1"/>
  <c r="Z308" i="3"/>
  <c r="AD308" i="3"/>
  <c r="AA308" i="3"/>
  <c r="P308" i="3"/>
  <c r="Q308" i="3" s="1"/>
  <c r="R308" i="3" s="1"/>
  <c r="S308" i="3" s="1"/>
  <c r="AC308" i="3"/>
  <c r="W307" i="3"/>
  <c r="T308" i="3" l="1"/>
  <c r="U307" i="3"/>
  <c r="Y306" i="3"/>
  <c r="E308" i="3" l="1"/>
  <c r="H308" i="3" s="1"/>
  <c r="K308" i="3" s="1"/>
  <c r="AE308" i="3" s="1"/>
  <c r="AH308" i="3"/>
  <c r="AG308" i="3"/>
  <c r="D308" i="3"/>
  <c r="F308" i="3" l="1"/>
  <c r="G308" i="3"/>
  <c r="V308" i="3"/>
  <c r="A309" i="3"/>
  <c r="B309" i="3" s="1"/>
  <c r="I308" i="3" l="1"/>
  <c r="W308" i="3" s="1"/>
  <c r="J308" i="3"/>
  <c r="M308" i="3"/>
  <c r="N308" i="3" s="1"/>
  <c r="AC309" i="3"/>
  <c r="AD309" i="3"/>
  <c r="P309" i="3"/>
  <c r="Q309" i="3" s="1"/>
  <c r="R309" i="3" s="1"/>
  <c r="S309" i="3" s="1"/>
  <c r="AA309" i="3"/>
  <c r="Z309" i="3"/>
  <c r="T309" i="3" l="1"/>
  <c r="L308" i="3"/>
  <c r="AG309" i="3" l="1"/>
  <c r="AH309" i="3"/>
  <c r="U308" i="3"/>
  <c r="E309" i="3" s="1"/>
  <c r="H309" i="3" s="1"/>
  <c r="Y307" i="3"/>
  <c r="D309" i="3" l="1"/>
  <c r="G309" i="3" s="1"/>
  <c r="K309" i="3"/>
  <c r="AE309" i="3" s="1"/>
  <c r="F309" i="3" l="1"/>
  <c r="V309" i="3"/>
  <c r="A310" i="3"/>
  <c r="B310" i="3" s="1"/>
  <c r="I309" i="3"/>
  <c r="J309" i="3"/>
  <c r="M309" i="3"/>
  <c r="N309" i="3" s="1"/>
  <c r="W309" i="3" l="1"/>
  <c r="L309" i="3"/>
  <c r="AC310" i="3"/>
  <c r="AD310" i="3"/>
  <c r="Z310" i="3"/>
  <c r="AA310" i="3"/>
  <c r="P310" i="3"/>
  <c r="Q310" i="3" s="1"/>
  <c r="R310" i="3" s="1"/>
  <c r="S310" i="3" s="1"/>
  <c r="T310" i="3" l="1"/>
  <c r="AH310" i="3" s="1"/>
  <c r="U309" i="3"/>
  <c r="Y308" i="3"/>
  <c r="AG310" i="3" l="1"/>
  <c r="E310" i="3"/>
  <c r="H310" i="3" s="1"/>
  <c r="D310" i="3"/>
  <c r="K310" i="3" l="1"/>
  <c r="AE310" i="3" s="1"/>
  <c r="F310" i="3"/>
  <c r="G310" i="3"/>
  <c r="I310" i="3" l="1"/>
  <c r="J310" i="3"/>
  <c r="M310" i="3"/>
  <c r="N310" i="3" s="1"/>
  <c r="V310" i="3"/>
  <c r="A311" i="3"/>
  <c r="B311" i="3" s="1"/>
  <c r="W310" i="3" l="1"/>
  <c r="L310" i="3"/>
  <c r="AA311" i="3"/>
  <c r="Z311" i="3"/>
  <c r="P311" i="3"/>
  <c r="Q311" i="3" s="1"/>
  <c r="R311" i="3" s="1"/>
  <c r="S311" i="3" s="1"/>
  <c r="AC311" i="3"/>
  <c r="T311" i="3" l="1"/>
  <c r="AH311" i="3" s="1"/>
  <c r="U310" i="3"/>
  <c r="Y309" i="3"/>
  <c r="D311" i="3" l="1"/>
  <c r="G311" i="3" s="1"/>
  <c r="E311" i="3"/>
  <c r="H311" i="3" s="1"/>
  <c r="AG311" i="3"/>
  <c r="I311" i="3" l="1"/>
  <c r="J311" i="3"/>
  <c r="AD311" i="3" s="1"/>
  <c r="M311" i="3"/>
  <c r="N311" i="3" s="1"/>
  <c r="K311" i="3"/>
  <c r="AE311" i="3" s="1"/>
  <c r="F311" i="3"/>
  <c r="V311" i="3" l="1"/>
  <c r="W311" i="3" s="1"/>
  <c r="A312" i="3"/>
  <c r="B312" i="3" s="1"/>
  <c r="L311" i="3"/>
  <c r="U311" i="3" l="1"/>
  <c r="Y310" i="3"/>
  <c r="AA312" i="3"/>
  <c r="Z312" i="3"/>
  <c r="AD312" i="3"/>
  <c r="P312" i="3"/>
  <c r="Q312" i="3" s="1"/>
  <c r="R312" i="3" s="1"/>
  <c r="S312" i="3" s="1"/>
  <c r="AC312" i="3"/>
  <c r="T312" i="3" l="1"/>
  <c r="AG312" i="3" s="1"/>
  <c r="E312" i="3" l="1"/>
  <c r="H312" i="3" s="1"/>
  <c r="K312" i="3" s="1"/>
  <c r="AE312" i="3" s="1"/>
  <c r="D312" i="3"/>
  <c r="AH312" i="3"/>
  <c r="V312" i="3" l="1"/>
  <c r="A313" i="3"/>
  <c r="B313" i="3" s="1"/>
  <c r="F312" i="3"/>
  <c r="G312" i="3"/>
  <c r="I312" i="3" l="1"/>
  <c r="W312" i="3" s="1"/>
  <c r="J312" i="3"/>
  <c r="M312" i="3"/>
  <c r="N312" i="3" s="1"/>
  <c r="Z313" i="3"/>
  <c r="AC313" i="3"/>
  <c r="P313" i="3"/>
  <c r="Q313" i="3" s="1"/>
  <c r="R313" i="3" s="1"/>
  <c r="S313" i="3" s="1"/>
  <c r="AD313" i="3"/>
  <c r="AA313" i="3"/>
  <c r="T313" i="3" l="1"/>
  <c r="L312" i="3"/>
  <c r="AG313" i="3" l="1"/>
  <c r="AH313" i="3"/>
  <c r="U312" i="3"/>
  <c r="D313" i="3" s="1"/>
  <c r="Y311" i="3"/>
  <c r="E313" i="3" l="1"/>
  <c r="H313" i="3" s="1"/>
  <c r="K313" i="3" s="1"/>
  <c r="AE313" i="3" s="1"/>
  <c r="G313" i="3"/>
  <c r="F313" i="3" l="1"/>
  <c r="I313" i="3"/>
  <c r="J313" i="3"/>
  <c r="M313" i="3"/>
  <c r="N313" i="3" s="1"/>
  <c r="V313" i="3"/>
  <c r="A314" i="3"/>
  <c r="B314" i="3" s="1"/>
  <c r="Z314" i="3" l="1"/>
  <c r="AC314" i="3"/>
  <c r="AA314" i="3"/>
  <c r="P314" i="3"/>
  <c r="Q314" i="3" s="1"/>
  <c r="R314" i="3" s="1"/>
  <c r="S314" i="3" s="1"/>
  <c r="L313" i="3"/>
  <c r="W313" i="3"/>
  <c r="U313" i="3" l="1"/>
  <c r="Y312" i="3"/>
  <c r="T314" i="3"/>
  <c r="D314" i="3" l="1"/>
  <c r="G314" i="3" s="1"/>
  <c r="AG314" i="3"/>
  <c r="AH314" i="3"/>
  <c r="E314" i="3"/>
  <c r="H314" i="3" s="1"/>
  <c r="F314" i="3" l="1"/>
  <c r="I314" i="3"/>
  <c r="J314" i="3"/>
  <c r="AD314" i="3" s="1"/>
  <c r="M314" i="3"/>
  <c r="N314" i="3" s="1"/>
  <c r="K314" i="3"/>
  <c r="AE314" i="3" s="1"/>
  <c r="V314" i="3" l="1"/>
  <c r="W314" i="3" s="1"/>
  <c r="A315" i="3"/>
  <c r="B315" i="3" s="1"/>
  <c r="L314" i="3"/>
  <c r="U314" i="3" l="1"/>
  <c r="Y313" i="3"/>
  <c r="Z315" i="3"/>
  <c r="P315" i="3"/>
  <c r="Q315" i="3" s="1"/>
  <c r="R315" i="3" s="1"/>
  <c r="S315" i="3" s="1"/>
  <c r="AA315" i="3"/>
  <c r="AC315" i="3"/>
  <c r="T315" i="3" l="1"/>
  <c r="D315" i="3" s="1"/>
  <c r="AH315" i="3" l="1"/>
  <c r="AG315" i="3"/>
  <c r="E315" i="3"/>
  <c r="H315" i="3" s="1"/>
  <c r="K315" i="3" s="1"/>
  <c r="AE315" i="3" s="1"/>
  <c r="G315" i="3"/>
  <c r="F315" i="3" l="1"/>
  <c r="I315" i="3"/>
  <c r="J315" i="3"/>
  <c r="AD315" i="3" s="1"/>
  <c r="M315" i="3"/>
  <c r="N315" i="3" s="1"/>
  <c r="V315" i="3"/>
  <c r="A316" i="3"/>
  <c r="B316" i="3" s="1"/>
  <c r="W315" i="3" l="1"/>
  <c r="L315" i="3"/>
  <c r="Z316" i="3"/>
  <c r="AC316" i="3"/>
  <c r="P316" i="3"/>
  <c r="Q316" i="3" s="1"/>
  <c r="R316" i="3" s="1"/>
  <c r="S316" i="3" s="1"/>
  <c r="AA316" i="3"/>
  <c r="U315" i="3" l="1"/>
  <c r="Y314" i="3"/>
  <c r="T316" i="3"/>
  <c r="AG316" i="3" s="1"/>
  <c r="D316" i="3" l="1"/>
  <c r="AH316" i="3"/>
  <c r="E316" i="3"/>
  <c r="H316" i="3" s="1"/>
  <c r="F316" i="3" l="1"/>
  <c r="G316" i="3"/>
  <c r="K316" i="3"/>
  <c r="AE316" i="3" s="1"/>
  <c r="V316" i="3" l="1"/>
  <c r="A317" i="3"/>
  <c r="B317" i="3" s="1"/>
  <c r="I316" i="3"/>
  <c r="J316" i="3"/>
  <c r="AD316" i="3" s="1"/>
  <c r="M316" i="3"/>
  <c r="N316" i="3" s="1"/>
  <c r="W316" i="3" l="1"/>
  <c r="L316" i="3"/>
  <c r="Z317" i="3"/>
  <c r="AA317" i="3"/>
  <c r="P317" i="3"/>
  <c r="Q317" i="3" s="1"/>
  <c r="R317" i="3" s="1"/>
  <c r="S317" i="3" s="1"/>
  <c r="AC317" i="3"/>
  <c r="T317" i="3" l="1"/>
  <c r="AG317" i="3" s="1"/>
  <c r="U316" i="3"/>
  <c r="Y315" i="3"/>
  <c r="E317" i="3" l="1"/>
  <c r="H317" i="3" s="1"/>
  <c r="K317" i="3" s="1"/>
  <c r="AE317" i="3" s="1"/>
  <c r="D317" i="3"/>
  <c r="AH317" i="3"/>
  <c r="V317" i="3" l="1"/>
  <c r="A318" i="3"/>
  <c r="B318" i="3" s="1"/>
  <c r="F317" i="3"/>
  <c r="G317" i="3"/>
  <c r="I317" i="3" l="1"/>
  <c r="W317" i="3" s="1"/>
  <c r="J317" i="3"/>
  <c r="AD317" i="3" s="1"/>
  <c r="M317" i="3"/>
  <c r="N317" i="3" s="1"/>
  <c r="AA318" i="3"/>
  <c r="P318" i="3"/>
  <c r="Q318" i="3" s="1"/>
  <c r="R318" i="3" s="1"/>
  <c r="S318" i="3" s="1"/>
  <c r="Z318" i="3"/>
  <c r="AC318" i="3"/>
  <c r="T318" i="3" l="1"/>
  <c r="L317" i="3"/>
  <c r="AH318" i="3" l="1"/>
  <c r="AG318" i="3"/>
  <c r="U317" i="3"/>
  <c r="E318" i="3" s="1"/>
  <c r="H318" i="3" s="1"/>
  <c r="Y316" i="3"/>
  <c r="K318" i="3" l="1"/>
  <c r="AE318" i="3" s="1"/>
  <c r="D318" i="3"/>
  <c r="V318" i="3" l="1"/>
  <c r="A319" i="3"/>
  <c r="B319" i="3" s="1"/>
  <c r="F318" i="3"/>
  <c r="G318" i="3"/>
  <c r="I318" i="3" l="1"/>
  <c r="W318" i="3" s="1"/>
  <c r="J318" i="3"/>
  <c r="AD318" i="3" s="1"/>
  <c r="M318" i="3"/>
  <c r="N318" i="3" s="1"/>
  <c r="Z319" i="3"/>
  <c r="AC319" i="3"/>
  <c r="P319" i="3"/>
  <c r="Q319" i="3" s="1"/>
  <c r="R319" i="3" s="1"/>
  <c r="S319" i="3" s="1"/>
  <c r="AA319" i="3"/>
  <c r="T319" i="3" l="1"/>
  <c r="L318" i="3"/>
  <c r="U318" i="3" l="1"/>
  <c r="E319" i="3" s="1"/>
  <c r="H319" i="3" s="1"/>
  <c r="AH319" i="3"/>
  <c r="AG319" i="3"/>
  <c r="Y317" i="3"/>
  <c r="D319" i="3" l="1"/>
  <c r="G319" i="3" s="1"/>
  <c r="K319" i="3"/>
  <c r="AE319" i="3" s="1"/>
  <c r="F319" i="3" l="1"/>
  <c r="V319" i="3"/>
  <c r="A320" i="3"/>
  <c r="B320" i="3" s="1"/>
  <c r="I319" i="3"/>
  <c r="J319" i="3"/>
  <c r="AD319" i="3" s="1"/>
  <c r="M319" i="3"/>
  <c r="N319" i="3" s="1"/>
  <c r="L319" i="3" l="1"/>
  <c r="W319" i="3"/>
  <c r="AA320" i="3"/>
  <c r="AC320" i="3"/>
  <c r="P320" i="3"/>
  <c r="Q320" i="3" s="1"/>
  <c r="R320" i="3" s="1"/>
  <c r="S320" i="3" s="1"/>
  <c r="Z320" i="3"/>
  <c r="U319" i="3" l="1"/>
  <c r="Y318" i="3"/>
  <c r="T320" i="3"/>
  <c r="AH320" i="3" s="1"/>
  <c r="D320" i="3" l="1"/>
  <c r="AG320" i="3"/>
  <c r="E320" i="3"/>
  <c r="H320" i="3" s="1"/>
  <c r="F320" i="3" l="1"/>
  <c r="G320" i="3"/>
  <c r="K320" i="3"/>
  <c r="AE320" i="3" s="1"/>
  <c r="I320" i="3" l="1"/>
  <c r="J320" i="3"/>
  <c r="AD320" i="3" s="1"/>
  <c r="M320" i="3"/>
  <c r="N320" i="3" s="1"/>
  <c r="V320" i="3"/>
  <c r="A321" i="3"/>
  <c r="B321" i="3" s="1"/>
  <c r="W320" i="3" l="1"/>
  <c r="L320" i="3"/>
  <c r="AC321" i="3"/>
  <c r="AA321" i="3"/>
  <c r="Z321" i="3"/>
  <c r="P321" i="3"/>
  <c r="Q321" i="3" s="1"/>
  <c r="R321" i="3" s="1"/>
  <c r="S321" i="3" s="1"/>
  <c r="U320" i="3" l="1"/>
  <c r="Y319" i="3"/>
  <c r="T321" i="3"/>
  <c r="D321" i="3" l="1"/>
  <c r="G321" i="3" s="1"/>
  <c r="AH321" i="3"/>
  <c r="E321" i="3"/>
  <c r="H321" i="3" s="1"/>
  <c r="AG321" i="3"/>
  <c r="F321" i="3" l="1"/>
  <c r="I321" i="3"/>
  <c r="J321" i="3"/>
  <c r="AD321" i="3" s="1"/>
  <c r="M321" i="3"/>
  <c r="N321" i="3" s="1"/>
  <c r="K321" i="3"/>
  <c r="AE321" i="3" s="1"/>
  <c r="V321" i="3" l="1"/>
  <c r="W321" i="3" s="1"/>
  <c r="A322" i="3"/>
  <c r="B322" i="3" s="1"/>
  <c r="L321" i="3"/>
  <c r="U321" i="3" l="1"/>
  <c r="Y320" i="3"/>
  <c r="P322" i="3"/>
  <c r="Q322" i="3" s="1"/>
  <c r="R322" i="3" s="1"/>
  <c r="S322" i="3" s="1"/>
  <c r="Z322" i="3"/>
  <c r="AC322" i="3"/>
  <c r="AA322" i="3"/>
  <c r="T322" i="3" l="1"/>
  <c r="AH322" i="3" s="1"/>
  <c r="E322" i="3" l="1"/>
  <c r="H322" i="3" s="1"/>
  <c r="K322" i="3" s="1"/>
  <c r="AE322" i="3" s="1"/>
  <c r="AG322" i="3"/>
  <c r="D322" i="3"/>
  <c r="V322" i="3" l="1"/>
  <c r="A323" i="3"/>
  <c r="B323" i="3" s="1"/>
  <c r="F322" i="3"/>
  <c r="G322" i="3"/>
  <c r="I322" i="3" l="1"/>
  <c r="W322" i="3" s="1"/>
  <c r="J322" i="3"/>
  <c r="AD322" i="3" s="1"/>
  <c r="M322" i="3"/>
  <c r="N322" i="3" s="1"/>
  <c r="P323" i="3"/>
  <c r="Q323" i="3" s="1"/>
  <c r="R323" i="3" s="1"/>
  <c r="S323" i="3" s="1"/>
  <c r="AA323" i="3"/>
  <c r="Z323" i="3"/>
  <c r="AC323" i="3"/>
  <c r="T323" i="3" l="1"/>
  <c r="L322" i="3"/>
  <c r="AH323" i="3" l="1"/>
  <c r="U322" i="3"/>
  <c r="D323" i="3" s="1"/>
  <c r="AG323" i="3"/>
  <c r="Y321" i="3"/>
  <c r="G323" i="3" l="1"/>
  <c r="E323" i="3"/>
  <c r="H323" i="3" s="1"/>
  <c r="F323" i="3" l="1"/>
  <c r="K323" i="3"/>
  <c r="AE323" i="3" s="1"/>
  <c r="I323" i="3"/>
  <c r="J323" i="3"/>
  <c r="AD323" i="3" s="1"/>
  <c r="M323" i="3"/>
  <c r="N323" i="3" s="1"/>
  <c r="L323" i="3" l="1"/>
  <c r="V323" i="3"/>
  <c r="W323" i="3" s="1"/>
  <c r="A324" i="3"/>
  <c r="B324" i="3" s="1"/>
  <c r="U323" i="3" l="1"/>
  <c r="Y322" i="3"/>
  <c r="Z324" i="3"/>
  <c r="P324" i="3"/>
  <c r="Q324" i="3" s="1"/>
  <c r="R324" i="3" s="1"/>
  <c r="S324" i="3" s="1"/>
  <c r="AA324" i="3"/>
  <c r="AC324" i="3"/>
  <c r="T324" i="3" l="1"/>
  <c r="AG324" i="3" s="1"/>
  <c r="E324" i="3" l="1"/>
  <c r="H324" i="3" s="1"/>
  <c r="K324" i="3" s="1"/>
  <c r="AE324" i="3" s="1"/>
  <c r="AH324" i="3"/>
  <c r="D324" i="3"/>
  <c r="V324" i="3" l="1"/>
  <c r="A325" i="3"/>
  <c r="B325" i="3" s="1"/>
  <c r="F324" i="3"/>
  <c r="G324" i="3"/>
  <c r="I324" i="3" l="1"/>
  <c r="W324" i="3" s="1"/>
  <c r="J324" i="3"/>
  <c r="AD324" i="3" s="1"/>
  <c r="M324" i="3"/>
  <c r="N324" i="3" s="1"/>
  <c r="P325" i="3"/>
  <c r="Q325" i="3" s="1"/>
  <c r="R325" i="3" s="1"/>
  <c r="S325" i="3" s="1"/>
  <c r="AC325" i="3"/>
  <c r="Z325" i="3"/>
  <c r="AA325" i="3"/>
  <c r="T325" i="3" l="1"/>
  <c r="L324" i="3"/>
  <c r="AG325" i="3" l="1"/>
  <c r="U324" i="3"/>
  <c r="D325" i="3" s="1"/>
  <c r="AH325" i="3"/>
  <c r="Y323" i="3"/>
  <c r="E325" i="3" l="1"/>
  <c r="H325" i="3" s="1"/>
  <c r="K325" i="3" s="1"/>
  <c r="AE325" i="3" s="1"/>
  <c r="G325" i="3"/>
  <c r="F325" i="3" l="1"/>
  <c r="V325" i="3"/>
  <c r="A326" i="3"/>
  <c r="B326" i="3" s="1"/>
  <c r="I325" i="3"/>
  <c r="J325" i="3"/>
  <c r="AD325" i="3" s="1"/>
  <c r="M325" i="3"/>
  <c r="N325" i="3" s="1"/>
  <c r="L325" i="3" l="1"/>
  <c r="W325" i="3"/>
  <c r="P326" i="3"/>
  <c r="Q326" i="3" s="1"/>
  <c r="R326" i="3" s="1"/>
  <c r="S326" i="3" s="1"/>
  <c r="AA326" i="3"/>
  <c r="AC326" i="3"/>
  <c r="Z326" i="3"/>
  <c r="U325" i="3" l="1"/>
  <c r="Y324" i="3"/>
  <c r="T326" i="3"/>
  <c r="AH326" i="3" s="1"/>
  <c r="E326" i="3" l="1"/>
  <c r="H326" i="3" s="1"/>
  <c r="K326" i="3" s="1"/>
  <c r="AE326" i="3" s="1"/>
  <c r="AG326" i="3"/>
  <c r="D326" i="3"/>
  <c r="G326" i="3" s="1"/>
  <c r="F326" i="3" l="1"/>
  <c r="I326" i="3"/>
  <c r="J326" i="3"/>
  <c r="AD326" i="3" s="1"/>
  <c r="M326" i="3"/>
  <c r="N326" i="3" s="1"/>
  <c r="V326" i="3"/>
  <c r="A327" i="3"/>
  <c r="B327" i="3" s="1"/>
  <c r="W326" i="3" l="1"/>
  <c r="L326" i="3"/>
  <c r="Z327" i="3"/>
  <c r="AA327" i="3"/>
  <c r="P327" i="3"/>
  <c r="Q327" i="3" s="1"/>
  <c r="R327" i="3" s="1"/>
  <c r="S327" i="3" s="1"/>
  <c r="AC327" i="3"/>
  <c r="U326" i="3" l="1"/>
  <c r="Y325" i="3"/>
  <c r="T327" i="3"/>
  <c r="AH327" i="3" s="1"/>
  <c r="E327" i="3" l="1"/>
  <c r="H327" i="3" s="1"/>
  <c r="K327" i="3" s="1"/>
  <c r="AE327" i="3" s="1"/>
  <c r="D327" i="3"/>
  <c r="AG327" i="3"/>
  <c r="F327" i="3" l="1"/>
  <c r="G327" i="3"/>
  <c r="M327" i="3" s="1"/>
  <c r="N327" i="3" s="1"/>
  <c r="V327" i="3"/>
  <c r="A328" i="3"/>
  <c r="B328" i="3" s="1"/>
  <c r="I327" i="3" l="1"/>
  <c r="W327" i="3" s="1"/>
  <c r="J327" i="3"/>
  <c r="Z328" i="3"/>
  <c r="P328" i="3"/>
  <c r="Q328" i="3" s="1"/>
  <c r="R328" i="3" s="1"/>
  <c r="S328" i="3" s="1"/>
  <c r="AA328" i="3"/>
  <c r="AC328" i="3"/>
  <c r="L327" i="3" l="1"/>
  <c r="U327" i="3" s="1"/>
  <c r="AD327" i="3"/>
  <c r="T328" i="3"/>
  <c r="AG328" i="3" l="1"/>
  <c r="Y326" i="3"/>
  <c r="AH328" i="3"/>
  <c r="E328" i="3"/>
  <c r="H328" i="3" s="1"/>
  <c r="K328" i="3" s="1"/>
  <c r="AE328" i="3" s="1"/>
  <c r="D328" i="3"/>
  <c r="V328" i="3" l="1"/>
  <c r="A329" i="3"/>
  <c r="B329" i="3" s="1"/>
  <c r="F328" i="3"/>
  <c r="G328" i="3"/>
  <c r="I328" i="3" l="1"/>
  <c r="W328" i="3" s="1"/>
  <c r="J328" i="3"/>
  <c r="AD328" i="3" s="1"/>
  <c r="M328" i="3"/>
  <c r="N328" i="3" s="1"/>
  <c r="P329" i="3"/>
  <c r="Q329" i="3" s="1"/>
  <c r="R329" i="3" s="1"/>
  <c r="S329" i="3" s="1"/>
  <c r="Z329" i="3"/>
  <c r="AC329" i="3"/>
  <c r="AA329" i="3"/>
  <c r="T329" i="3" l="1"/>
  <c r="L328" i="3"/>
  <c r="AH329" i="3" l="1"/>
  <c r="U328" i="3"/>
  <c r="D329" i="3" s="1"/>
  <c r="AG329" i="3"/>
  <c r="Y327" i="3"/>
  <c r="E329" i="3" l="1"/>
  <c r="H329" i="3" s="1"/>
  <c r="K329" i="3" s="1"/>
  <c r="AE329" i="3" s="1"/>
  <c r="G329" i="3"/>
  <c r="F329" i="3" l="1"/>
  <c r="I329" i="3"/>
  <c r="J329" i="3"/>
  <c r="AD329" i="3" s="1"/>
  <c r="M329" i="3"/>
  <c r="N329" i="3" s="1"/>
  <c r="V329" i="3"/>
  <c r="A330" i="3"/>
  <c r="B330" i="3" s="1"/>
  <c r="W329" i="3" l="1"/>
  <c r="L329" i="3"/>
  <c r="AA330" i="3"/>
  <c r="AC330" i="3"/>
  <c r="P330" i="3"/>
  <c r="Q330" i="3" s="1"/>
  <c r="R330" i="3" s="1"/>
  <c r="S330" i="3" s="1"/>
  <c r="Z330" i="3"/>
  <c r="U329" i="3" l="1"/>
  <c r="Y328" i="3"/>
  <c r="T330" i="3"/>
  <c r="AH330" i="3" s="1"/>
  <c r="AG330" i="3" l="1"/>
  <c r="E330" i="3"/>
  <c r="H330" i="3" s="1"/>
  <c r="D330" i="3"/>
  <c r="K330" i="3" l="1"/>
  <c r="AE330" i="3" s="1"/>
  <c r="F330" i="3"/>
  <c r="G330" i="3"/>
  <c r="I330" i="3" l="1"/>
  <c r="J330" i="3"/>
  <c r="AD330" i="3" s="1"/>
  <c r="M330" i="3"/>
  <c r="N330" i="3" s="1"/>
  <c r="V330" i="3"/>
  <c r="A331" i="3"/>
  <c r="B331" i="3" s="1"/>
  <c r="W330" i="3" l="1"/>
  <c r="L330" i="3"/>
  <c r="P331" i="3"/>
  <c r="Q331" i="3" s="1"/>
  <c r="R331" i="3" s="1"/>
  <c r="S331" i="3" s="1"/>
  <c r="AA331" i="3"/>
  <c r="AC331" i="3"/>
  <c r="Z331" i="3"/>
  <c r="U330" i="3" l="1"/>
  <c r="Y329" i="3"/>
  <c r="T331" i="3"/>
  <c r="D331" i="3" l="1"/>
  <c r="G331" i="3" s="1"/>
  <c r="AH331" i="3"/>
  <c r="AG331" i="3"/>
  <c r="E331" i="3"/>
  <c r="H331" i="3" s="1"/>
  <c r="F331" i="3" l="1"/>
  <c r="I331" i="3"/>
  <c r="J331" i="3"/>
  <c r="AD331" i="3" s="1"/>
  <c r="M331" i="3"/>
  <c r="N331" i="3" s="1"/>
  <c r="K331" i="3"/>
  <c r="AE331" i="3" s="1"/>
  <c r="V331" i="3" l="1"/>
  <c r="W331" i="3" s="1"/>
  <c r="A332" i="3"/>
  <c r="B332" i="3" s="1"/>
  <c r="L331" i="3"/>
  <c r="U331" i="3" l="1"/>
  <c r="Y330" i="3"/>
  <c r="AA332" i="3"/>
  <c r="Z332" i="3"/>
  <c r="AC332" i="3"/>
  <c r="P332" i="3"/>
  <c r="Q332" i="3" s="1"/>
  <c r="R332" i="3" s="1"/>
  <c r="S332" i="3" s="1"/>
  <c r="T332" i="3" l="1"/>
  <c r="AG332" i="3" s="1"/>
  <c r="E332" i="3" l="1"/>
  <c r="H332" i="3" s="1"/>
  <c r="K332" i="3" s="1"/>
  <c r="AE332" i="3" s="1"/>
  <c r="D332" i="3"/>
  <c r="AH332" i="3"/>
  <c r="V332" i="3" l="1"/>
  <c r="A333" i="3"/>
  <c r="B333" i="3" s="1"/>
  <c r="F332" i="3"/>
  <c r="G332" i="3"/>
  <c r="I332" i="3" l="1"/>
  <c r="W332" i="3" s="1"/>
  <c r="J332" i="3"/>
  <c r="AD332" i="3" s="1"/>
  <c r="M332" i="3"/>
  <c r="N332" i="3" s="1"/>
  <c r="AA333" i="3"/>
  <c r="P333" i="3"/>
  <c r="Q333" i="3" s="1"/>
  <c r="R333" i="3" s="1"/>
  <c r="S333" i="3" s="1"/>
  <c r="Z333" i="3"/>
  <c r="AC333" i="3"/>
  <c r="T333" i="3" l="1"/>
  <c r="L332" i="3"/>
  <c r="AH333" i="3" l="1"/>
  <c r="AG333" i="3"/>
  <c r="U332" i="3"/>
  <c r="D333" i="3" s="1"/>
  <c r="Y331" i="3"/>
  <c r="E333" i="3" l="1"/>
  <c r="H333" i="3" s="1"/>
  <c r="K333" i="3" s="1"/>
  <c r="AE333" i="3" s="1"/>
  <c r="G333" i="3"/>
  <c r="F333" i="3" l="1"/>
  <c r="I333" i="3"/>
  <c r="J333" i="3"/>
  <c r="AD333" i="3" s="1"/>
  <c r="M333" i="3"/>
  <c r="N333" i="3" s="1"/>
  <c r="V333" i="3"/>
  <c r="A334" i="3"/>
  <c r="B334" i="3" s="1"/>
  <c r="W333" i="3" l="1"/>
  <c r="L333" i="3"/>
  <c r="AA334" i="3"/>
  <c r="P334" i="3"/>
  <c r="Q334" i="3" s="1"/>
  <c r="R334" i="3" s="1"/>
  <c r="S334" i="3" s="1"/>
  <c r="Z334" i="3"/>
  <c r="AC334" i="3"/>
  <c r="T334" i="3" l="1"/>
  <c r="AH334" i="3" s="1"/>
  <c r="U333" i="3"/>
  <c r="Y332" i="3"/>
  <c r="D334" i="3" l="1"/>
  <c r="G334" i="3" s="1"/>
  <c r="E334" i="3"/>
  <c r="H334" i="3" s="1"/>
  <c r="AG334" i="3"/>
  <c r="F334" i="3" l="1"/>
  <c r="I334" i="3"/>
  <c r="J334" i="3"/>
  <c r="AD334" i="3" s="1"/>
  <c r="M334" i="3"/>
  <c r="N334" i="3" s="1"/>
  <c r="K334" i="3"/>
  <c r="AE334" i="3" s="1"/>
  <c r="L334" i="3" l="1"/>
  <c r="V334" i="3"/>
  <c r="W334" i="3" s="1"/>
  <c r="A335" i="3"/>
  <c r="B335" i="3" s="1"/>
  <c r="U334" i="3" l="1"/>
  <c r="Y333" i="3"/>
  <c r="AC335" i="3"/>
  <c r="P335" i="3"/>
  <c r="Q335" i="3" s="1"/>
  <c r="R335" i="3" s="1"/>
  <c r="S335" i="3" s="1"/>
  <c r="AA335" i="3"/>
  <c r="Z335" i="3"/>
  <c r="T335" i="3" l="1"/>
  <c r="AG335" i="3" s="1"/>
  <c r="AH335" i="3" l="1"/>
  <c r="D335" i="3"/>
  <c r="E335" i="3"/>
  <c r="H335" i="3" s="1"/>
  <c r="F335" i="3" l="1"/>
  <c r="G335" i="3"/>
  <c r="K335" i="3"/>
  <c r="AE335" i="3" s="1"/>
  <c r="I335" i="3" l="1"/>
  <c r="J335" i="3"/>
  <c r="AD335" i="3" s="1"/>
  <c r="M335" i="3"/>
  <c r="N335" i="3" s="1"/>
  <c r="V335" i="3"/>
  <c r="A336" i="3"/>
  <c r="B336" i="3" s="1"/>
  <c r="W335" i="3" l="1"/>
  <c r="L335" i="3"/>
  <c r="AA336" i="3"/>
  <c r="P336" i="3"/>
  <c r="Q336" i="3" s="1"/>
  <c r="R336" i="3" s="1"/>
  <c r="S336" i="3" s="1"/>
  <c r="AC336" i="3"/>
  <c r="Z336" i="3"/>
  <c r="T336" i="3" l="1"/>
  <c r="AG336" i="3" s="1"/>
  <c r="U335" i="3"/>
  <c r="Y334" i="3"/>
  <c r="E336" i="3" l="1"/>
  <c r="H336" i="3" s="1"/>
  <c r="D336" i="3"/>
  <c r="AH336" i="3"/>
  <c r="K336" i="3" l="1"/>
  <c r="AE336" i="3" s="1"/>
  <c r="F336" i="3"/>
  <c r="G336" i="3"/>
  <c r="I336" i="3" l="1"/>
  <c r="J336" i="3"/>
  <c r="AD336" i="3" s="1"/>
  <c r="M336" i="3"/>
  <c r="N336" i="3" s="1"/>
  <c r="V336" i="3"/>
  <c r="A337" i="3"/>
  <c r="B337" i="3" s="1"/>
  <c r="W336" i="3" l="1"/>
  <c r="P337" i="3"/>
  <c r="Q337" i="3" s="1"/>
  <c r="R337" i="3" s="1"/>
  <c r="S337" i="3" s="1"/>
  <c r="AC337" i="3"/>
  <c r="AA337" i="3"/>
  <c r="Z337" i="3"/>
  <c r="L336" i="3"/>
  <c r="T337" i="3" l="1"/>
  <c r="U336" i="3"/>
  <c r="Y335" i="3"/>
  <c r="E337" i="3" l="1"/>
  <c r="H337" i="3" s="1"/>
  <c r="K337" i="3" s="1"/>
  <c r="AE337" i="3" s="1"/>
  <c r="AH337" i="3"/>
  <c r="AG337" i="3"/>
  <c r="D337" i="3"/>
  <c r="V337" i="3" l="1"/>
  <c r="A338" i="3"/>
  <c r="B338" i="3" s="1"/>
  <c r="F337" i="3"/>
  <c r="G337" i="3"/>
  <c r="I337" i="3" l="1"/>
  <c r="W337" i="3" s="1"/>
  <c r="J337" i="3"/>
  <c r="AD337" i="3" s="1"/>
  <c r="M337" i="3"/>
  <c r="N337" i="3" s="1"/>
  <c r="P338" i="3"/>
  <c r="Q338" i="3" s="1"/>
  <c r="R338" i="3" s="1"/>
  <c r="S338" i="3" s="1"/>
  <c r="Z338" i="3"/>
  <c r="AC338" i="3"/>
  <c r="AA338" i="3"/>
  <c r="T338" i="3" l="1"/>
  <c r="L337" i="3"/>
  <c r="AH338" i="3" l="1"/>
  <c r="U337" i="3"/>
  <c r="E338" i="3" s="1"/>
  <c r="H338" i="3" s="1"/>
  <c r="AG338" i="3"/>
  <c r="Y336" i="3"/>
  <c r="D338" i="3" l="1"/>
  <c r="F338" i="3" s="1"/>
  <c r="K338" i="3"/>
  <c r="AE338" i="3" s="1"/>
  <c r="G338" i="3" l="1"/>
  <c r="M338" i="3" s="1"/>
  <c r="N338" i="3" s="1"/>
  <c r="V338" i="3"/>
  <c r="A339" i="3"/>
  <c r="B339" i="3" s="1"/>
  <c r="I338" i="3" l="1"/>
  <c r="W338" i="3" s="1"/>
  <c r="J338" i="3"/>
  <c r="Z339" i="3"/>
  <c r="P339" i="3"/>
  <c r="Q339" i="3" s="1"/>
  <c r="R339" i="3" s="1"/>
  <c r="S339" i="3" s="1"/>
  <c r="AA339" i="3"/>
  <c r="AC339" i="3"/>
  <c r="L338" i="3" l="1"/>
  <c r="U338" i="3" s="1"/>
  <c r="AD338" i="3"/>
  <c r="T339" i="3"/>
  <c r="Y337" i="3" l="1"/>
  <c r="AG339" i="3"/>
  <c r="AH339" i="3"/>
  <c r="E339" i="3"/>
  <c r="H339" i="3" s="1"/>
  <c r="D339" i="3"/>
  <c r="K339" i="3" l="1"/>
  <c r="AE339" i="3" s="1"/>
  <c r="F339" i="3"/>
  <c r="G339" i="3"/>
  <c r="V339" i="3" l="1"/>
  <c r="A340" i="3"/>
  <c r="B340" i="3" s="1"/>
  <c r="I339" i="3"/>
  <c r="J339" i="3"/>
  <c r="AD339" i="3" s="1"/>
  <c r="M339" i="3"/>
  <c r="N339" i="3" s="1"/>
  <c r="W339" i="3" l="1"/>
  <c r="L339" i="3"/>
  <c r="Z340" i="3"/>
  <c r="P340" i="3"/>
  <c r="Q340" i="3" s="1"/>
  <c r="R340" i="3" s="1"/>
  <c r="S340" i="3" s="1"/>
  <c r="AC340" i="3"/>
  <c r="AA340" i="3"/>
  <c r="T340" i="3" l="1"/>
  <c r="U339" i="3"/>
  <c r="Y338" i="3"/>
  <c r="D340" i="3" l="1"/>
  <c r="G340" i="3" s="1"/>
  <c r="E340" i="3"/>
  <c r="H340" i="3" s="1"/>
  <c r="K340" i="3" s="1"/>
  <c r="AE340" i="3" s="1"/>
  <c r="AH340" i="3"/>
  <c r="AG340" i="3"/>
  <c r="F340" i="3" l="1"/>
  <c r="V340" i="3"/>
  <c r="A341" i="3"/>
  <c r="B341" i="3" s="1"/>
  <c r="I340" i="3"/>
  <c r="J340" i="3"/>
  <c r="AD340" i="3" s="1"/>
  <c r="M340" i="3"/>
  <c r="N340" i="3" s="1"/>
  <c r="W340" i="3" l="1"/>
  <c r="L340" i="3"/>
  <c r="Z341" i="3"/>
  <c r="P341" i="3"/>
  <c r="Q341" i="3" s="1"/>
  <c r="R341" i="3" s="1"/>
  <c r="S341" i="3" s="1"/>
  <c r="AA341" i="3"/>
  <c r="AC341" i="3"/>
  <c r="U340" i="3" l="1"/>
  <c r="Y339" i="3"/>
  <c r="T341" i="3"/>
  <c r="AG341" i="3" s="1"/>
  <c r="D341" i="3" l="1"/>
  <c r="AH341" i="3"/>
  <c r="E341" i="3"/>
  <c r="H341" i="3" s="1"/>
  <c r="F341" i="3" l="1"/>
  <c r="G341" i="3"/>
  <c r="K341" i="3"/>
  <c r="AE341" i="3" s="1"/>
  <c r="I341" i="3" l="1"/>
  <c r="J341" i="3"/>
  <c r="AD341" i="3" s="1"/>
  <c r="M341" i="3"/>
  <c r="N341" i="3" s="1"/>
  <c r="V341" i="3"/>
  <c r="A342" i="3"/>
  <c r="B342" i="3" s="1"/>
  <c r="L341" i="3" l="1"/>
  <c r="W341" i="3"/>
  <c r="Z342" i="3"/>
  <c r="P342" i="3"/>
  <c r="Q342" i="3" s="1"/>
  <c r="R342" i="3" s="1"/>
  <c r="S342" i="3" s="1"/>
  <c r="AA342" i="3"/>
  <c r="AC342" i="3"/>
  <c r="U341" i="3" l="1"/>
  <c r="Y340" i="3"/>
  <c r="T342" i="3"/>
  <c r="D342" i="3" l="1"/>
  <c r="G342" i="3" s="1"/>
  <c r="AH342" i="3"/>
  <c r="E342" i="3"/>
  <c r="H342" i="3" s="1"/>
  <c r="AG342" i="3"/>
  <c r="F342" i="3" l="1"/>
  <c r="I342" i="3"/>
  <c r="J342" i="3"/>
  <c r="AD342" i="3" s="1"/>
  <c r="M342" i="3"/>
  <c r="N342" i="3" s="1"/>
  <c r="K342" i="3"/>
  <c r="AE342" i="3" s="1"/>
  <c r="V342" i="3" l="1"/>
  <c r="W342" i="3" s="1"/>
  <c r="A343" i="3"/>
  <c r="B343" i="3" s="1"/>
  <c r="L342" i="3"/>
  <c r="U342" i="3" l="1"/>
  <c r="Y341" i="3"/>
  <c r="P343" i="3"/>
  <c r="Q343" i="3" s="1"/>
  <c r="R343" i="3" s="1"/>
  <c r="S343" i="3" s="1"/>
  <c r="AA343" i="3"/>
  <c r="Z343" i="3"/>
  <c r="AC343" i="3"/>
  <c r="T343" i="3" l="1"/>
  <c r="D343" i="3" s="1"/>
  <c r="E343" i="3" l="1"/>
  <c r="H343" i="3" s="1"/>
  <c r="K343" i="3" s="1"/>
  <c r="AE343" i="3" s="1"/>
  <c r="G343" i="3"/>
  <c r="AG343" i="3"/>
  <c r="AH343" i="3"/>
  <c r="F343" i="3" l="1"/>
  <c r="I343" i="3"/>
  <c r="J343" i="3"/>
  <c r="AD343" i="3" s="1"/>
  <c r="M343" i="3"/>
  <c r="N343" i="3" s="1"/>
  <c r="V343" i="3"/>
  <c r="A344" i="3"/>
  <c r="B344" i="3" s="1"/>
  <c r="W343" i="3" l="1"/>
  <c r="L343" i="3"/>
  <c r="AA344" i="3"/>
  <c r="Z344" i="3"/>
  <c r="P344" i="3"/>
  <c r="Q344" i="3" s="1"/>
  <c r="R344" i="3" s="1"/>
  <c r="S344" i="3" s="1"/>
  <c r="AC344" i="3"/>
  <c r="U343" i="3" l="1"/>
  <c r="Y342" i="3"/>
  <c r="T344" i="3"/>
  <c r="AH344" i="3" s="1"/>
  <c r="AG344" i="3" l="1"/>
  <c r="E344" i="3"/>
  <c r="H344" i="3" s="1"/>
  <c r="D344" i="3"/>
  <c r="F344" i="3" l="1"/>
  <c r="G344" i="3"/>
  <c r="K344" i="3"/>
  <c r="AE344" i="3" s="1"/>
  <c r="I344" i="3" l="1"/>
  <c r="J344" i="3"/>
  <c r="AD344" i="3" s="1"/>
  <c r="M344" i="3"/>
  <c r="N344" i="3" s="1"/>
  <c r="V344" i="3"/>
  <c r="A345" i="3"/>
  <c r="B345" i="3" s="1"/>
  <c r="W344" i="3" l="1"/>
  <c r="P345" i="3"/>
  <c r="Q345" i="3" s="1"/>
  <c r="R345" i="3" s="1"/>
  <c r="S345" i="3" s="1"/>
  <c r="Z345" i="3"/>
  <c r="AC345" i="3"/>
  <c r="AD345" i="3"/>
  <c r="AA345" i="3"/>
  <c r="L344" i="3"/>
  <c r="T345" i="3" l="1"/>
  <c r="U344" i="3"/>
  <c r="Y343" i="3"/>
  <c r="E345" i="3" l="1"/>
  <c r="H345" i="3" s="1"/>
  <c r="K345" i="3" s="1"/>
  <c r="AE345" i="3" s="1"/>
  <c r="AH345" i="3"/>
  <c r="D345" i="3"/>
  <c r="AG345" i="3"/>
  <c r="F345" i="3" l="1"/>
  <c r="G345" i="3"/>
  <c r="V345" i="3"/>
  <c r="A346" i="3"/>
  <c r="B346" i="3" s="1"/>
  <c r="AD346" i="3" l="1"/>
  <c r="AC346" i="3"/>
  <c r="P346" i="3"/>
  <c r="Q346" i="3" s="1"/>
  <c r="R346" i="3" s="1"/>
  <c r="S346" i="3" s="1"/>
  <c r="AA346" i="3"/>
  <c r="Z346" i="3"/>
  <c r="I345" i="3"/>
  <c r="W345" i="3" s="1"/>
  <c r="J345" i="3"/>
  <c r="M345" i="3"/>
  <c r="N345" i="3" s="1"/>
  <c r="L345" i="3" l="1"/>
  <c r="T346" i="3"/>
  <c r="AH346" i="3" l="1"/>
  <c r="AG346" i="3"/>
  <c r="U345" i="3"/>
  <c r="D346" i="3" s="1"/>
  <c r="Y344" i="3"/>
  <c r="G346" i="3" l="1"/>
  <c r="E346" i="3"/>
  <c r="H346" i="3" s="1"/>
  <c r="F346" i="3" l="1"/>
  <c r="I346" i="3"/>
  <c r="J346" i="3"/>
  <c r="M346" i="3"/>
  <c r="N346" i="3" s="1"/>
  <c r="K346" i="3"/>
  <c r="AE346" i="3" s="1"/>
  <c r="V346" i="3" l="1"/>
  <c r="W346" i="3" s="1"/>
  <c r="A347" i="3"/>
  <c r="B347" i="3" s="1"/>
  <c r="L346" i="3"/>
  <c r="U346" i="3" l="1"/>
  <c r="Y345" i="3"/>
  <c r="AC347" i="3"/>
  <c r="Z347" i="3"/>
  <c r="AA347" i="3"/>
  <c r="P347" i="3"/>
  <c r="Q347" i="3" s="1"/>
  <c r="R347" i="3" s="1"/>
  <c r="S347" i="3" s="1"/>
  <c r="T347" i="3" l="1"/>
  <c r="E347" i="3" s="1"/>
  <c r="H347" i="3" s="1"/>
  <c r="K347" i="3" l="1"/>
  <c r="AE347" i="3" s="1"/>
  <c r="AH347" i="3"/>
  <c r="AG347" i="3"/>
  <c r="D347" i="3"/>
  <c r="F347" i="3" l="1"/>
  <c r="G347" i="3"/>
  <c r="V347" i="3"/>
  <c r="A348" i="3"/>
  <c r="B348" i="3" s="1"/>
  <c r="I347" i="3" l="1"/>
  <c r="W347" i="3" s="1"/>
  <c r="J347" i="3"/>
  <c r="AD347" i="3" s="1"/>
  <c r="M347" i="3"/>
  <c r="N347" i="3" s="1"/>
  <c r="AC348" i="3"/>
  <c r="AA348" i="3"/>
  <c r="P348" i="3"/>
  <c r="Q348" i="3" s="1"/>
  <c r="R348" i="3" s="1"/>
  <c r="S348" i="3" s="1"/>
  <c r="AD348" i="3"/>
  <c r="Z348" i="3"/>
  <c r="L347" i="3" l="1"/>
  <c r="T348" i="3"/>
  <c r="U347" i="3" l="1"/>
  <c r="D348" i="3" s="1"/>
  <c r="AH348" i="3"/>
  <c r="AG348" i="3"/>
  <c r="Y346" i="3"/>
  <c r="E348" i="3" l="1"/>
  <c r="H348" i="3" s="1"/>
  <c r="K348" i="3" s="1"/>
  <c r="AE348" i="3" s="1"/>
  <c r="G348" i="3"/>
  <c r="F348" i="3" l="1"/>
  <c r="I348" i="3"/>
  <c r="J348" i="3"/>
  <c r="M348" i="3"/>
  <c r="N348" i="3" s="1"/>
  <c r="V348" i="3"/>
  <c r="A349" i="3"/>
  <c r="B349" i="3" s="1"/>
  <c r="W348" i="3" l="1"/>
  <c r="L348" i="3"/>
  <c r="AC349" i="3"/>
  <c r="P349" i="3"/>
  <c r="Q349" i="3" s="1"/>
  <c r="R349" i="3" s="1"/>
  <c r="S349" i="3" s="1"/>
  <c r="AA349" i="3"/>
  <c r="Z349" i="3"/>
  <c r="AD349" i="3"/>
  <c r="U348" i="3" l="1"/>
  <c r="Y347" i="3"/>
  <c r="T349" i="3"/>
  <c r="AG349" i="3" s="1"/>
  <c r="E349" i="3" l="1"/>
  <c r="H349" i="3" s="1"/>
  <c r="K349" i="3" s="1"/>
  <c r="AE349" i="3" s="1"/>
  <c r="D349" i="3"/>
  <c r="AH349" i="3"/>
  <c r="V349" i="3" l="1"/>
  <c r="A350" i="3"/>
  <c r="B350" i="3" s="1"/>
  <c r="F349" i="3"/>
  <c r="G349" i="3"/>
  <c r="I349" i="3" l="1"/>
  <c r="W349" i="3" s="1"/>
  <c r="J349" i="3"/>
  <c r="M349" i="3"/>
  <c r="N349" i="3" s="1"/>
  <c r="AD350" i="3"/>
  <c r="P350" i="3"/>
  <c r="Q350" i="3" s="1"/>
  <c r="R350" i="3" s="1"/>
  <c r="S350" i="3" s="1"/>
  <c r="Z350" i="3"/>
  <c r="AC350" i="3"/>
  <c r="AA350" i="3"/>
  <c r="T350" i="3" l="1"/>
  <c r="L349" i="3"/>
  <c r="U349" i="3" l="1"/>
  <c r="D350" i="3" s="1"/>
  <c r="AG350" i="3"/>
  <c r="AH350" i="3"/>
  <c r="Y348" i="3"/>
  <c r="E350" i="3" l="1"/>
  <c r="H350" i="3" s="1"/>
  <c r="K350" i="3" s="1"/>
  <c r="AE350" i="3" s="1"/>
  <c r="G350" i="3"/>
  <c r="F350" i="3" l="1"/>
  <c r="V350" i="3"/>
  <c r="A351" i="3"/>
  <c r="B351" i="3" s="1"/>
  <c r="I350" i="3"/>
  <c r="J350" i="3"/>
  <c r="M350" i="3"/>
  <c r="N350" i="3" s="1"/>
  <c r="W350" i="3" l="1"/>
  <c r="L350" i="3"/>
  <c r="AA351" i="3"/>
  <c r="P351" i="3"/>
  <c r="Q351" i="3" s="1"/>
  <c r="R351" i="3" s="1"/>
  <c r="S351" i="3" s="1"/>
  <c r="Z351" i="3"/>
  <c r="AC351" i="3"/>
  <c r="U350" i="3" l="1"/>
  <c r="Y349" i="3"/>
  <c r="T351" i="3"/>
  <c r="D351" i="3" l="1"/>
  <c r="G351" i="3" s="1"/>
  <c r="AH351" i="3"/>
  <c r="E351" i="3"/>
  <c r="H351" i="3" s="1"/>
  <c r="K351" i="3" s="1"/>
  <c r="AE351" i="3" s="1"/>
  <c r="AG351" i="3"/>
  <c r="F351" i="3" l="1"/>
  <c r="V351" i="3"/>
  <c r="A352" i="3"/>
  <c r="B352" i="3" s="1"/>
  <c r="I351" i="3"/>
  <c r="J351" i="3"/>
  <c r="AD351" i="3" s="1"/>
  <c r="M351" i="3"/>
  <c r="N351" i="3" s="1"/>
  <c r="L351" i="3" l="1"/>
  <c r="W351" i="3"/>
  <c r="AC352" i="3"/>
  <c r="AD352" i="3"/>
  <c r="P352" i="3"/>
  <c r="Q352" i="3" s="1"/>
  <c r="R352" i="3" s="1"/>
  <c r="S352" i="3" s="1"/>
  <c r="AA352" i="3"/>
  <c r="Z352" i="3"/>
  <c r="U351" i="3" l="1"/>
  <c r="Y350" i="3"/>
  <c r="T352" i="3"/>
  <c r="E352" i="3" l="1"/>
  <c r="H352" i="3" s="1"/>
  <c r="K352" i="3" s="1"/>
  <c r="AE352" i="3" s="1"/>
  <c r="AH352" i="3"/>
  <c r="D352" i="3"/>
  <c r="AG352" i="3"/>
  <c r="F352" i="3" l="1"/>
  <c r="G352" i="3"/>
  <c r="V352" i="3"/>
  <c r="A353" i="3"/>
  <c r="B353" i="3" s="1"/>
  <c r="AC353" i="3" l="1"/>
  <c r="AD353" i="3"/>
  <c r="AA353" i="3"/>
  <c r="P353" i="3"/>
  <c r="Q353" i="3" s="1"/>
  <c r="R353" i="3" s="1"/>
  <c r="S353" i="3" s="1"/>
  <c r="Z353" i="3"/>
  <c r="I352" i="3"/>
  <c r="W352" i="3" s="1"/>
  <c r="J352" i="3"/>
  <c r="M352" i="3"/>
  <c r="N352" i="3" s="1"/>
  <c r="T353" i="3" l="1"/>
  <c r="L352" i="3"/>
  <c r="U352" i="3" l="1"/>
  <c r="D353" i="3" s="1"/>
  <c r="AH353" i="3"/>
  <c r="AG353" i="3"/>
  <c r="Y351" i="3"/>
  <c r="E353" i="3" l="1"/>
  <c r="H353" i="3" s="1"/>
  <c r="K353" i="3" s="1"/>
  <c r="AE353" i="3" s="1"/>
  <c r="G353" i="3"/>
  <c r="F353" i="3" l="1"/>
  <c r="I353" i="3"/>
  <c r="J353" i="3"/>
  <c r="M353" i="3"/>
  <c r="N353" i="3" s="1"/>
  <c r="V353" i="3"/>
  <c r="A354" i="3"/>
  <c r="B354" i="3" s="1"/>
  <c r="W353" i="3" l="1"/>
  <c r="L353" i="3"/>
  <c r="P354" i="3"/>
  <c r="Q354" i="3" s="1"/>
  <c r="R354" i="3" s="1"/>
  <c r="S354" i="3" s="1"/>
  <c r="AC354" i="3"/>
  <c r="Z354" i="3"/>
  <c r="AA354" i="3"/>
  <c r="U353" i="3" l="1"/>
  <c r="Y352" i="3"/>
  <c r="T354" i="3"/>
  <c r="AG354" i="3" s="1"/>
  <c r="D354" i="3" l="1"/>
  <c r="AH354" i="3"/>
  <c r="E354" i="3"/>
  <c r="H354" i="3" s="1"/>
  <c r="F354" i="3" l="1"/>
  <c r="G354" i="3"/>
  <c r="K354" i="3"/>
  <c r="AE354" i="3" s="1"/>
  <c r="V354" i="3" l="1"/>
  <c r="A355" i="3"/>
  <c r="B355" i="3" s="1"/>
  <c r="I354" i="3"/>
  <c r="J354" i="3"/>
  <c r="AD354" i="3" s="1"/>
  <c r="M354" i="3"/>
  <c r="N354" i="3" s="1"/>
  <c r="W354" i="3" l="1"/>
  <c r="L354" i="3"/>
  <c r="AA355" i="3"/>
  <c r="AC355" i="3"/>
  <c r="Z355" i="3"/>
  <c r="P355" i="3"/>
  <c r="Q355" i="3" s="1"/>
  <c r="R355" i="3" s="1"/>
  <c r="S355" i="3" s="1"/>
  <c r="T355" i="3" l="1"/>
  <c r="U354" i="3"/>
  <c r="Y353" i="3"/>
  <c r="D355" i="3" l="1"/>
  <c r="G355" i="3" s="1"/>
  <c r="AG355" i="3"/>
  <c r="E355" i="3"/>
  <c r="H355" i="3" s="1"/>
  <c r="K355" i="3" s="1"/>
  <c r="AE355" i="3" s="1"/>
  <c r="AH355" i="3"/>
  <c r="F355" i="3" l="1"/>
  <c r="V355" i="3"/>
  <c r="A356" i="3"/>
  <c r="B356" i="3" s="1"/>
  <c r="I355" i="3"/>
  <c r="J355" i="3"/>
  <c r="AD355" i="3" s="1"/>
  <c r="M355" i="3"/>
  <c r="N355" i="3" s="1"/>
  <c r="W355" i="3" l="1"/>
  <c r="L355" i="3"/>
  <c r="P356" i="3"/>
  <c r="Q356" i="3" s="1"/>
  <c r="R356" i="3" s="1"/>
  <c r="S356" i="3" s="1"/>
  <c r="AA356" i="3"/>
  <c r="Z356" i="3"/>
  <c r="AC356" i="3"/>
  <c r="U355" i="3" l="1"/>
  <c r="Y354" i="3"/>
  <c r="T356" i="3"/>
  <c r="AG356" i="3" s="1"/>
  <c r="AH356" i="3" l="1"/>
  <c r="D356" i="3"/>
  <c r="E356" i="3"/>
  <c r="H356" i="3" s="1"/>
  <c r="K356" i="3" s="1"/>
  <c r="AE356" i="3" s="1"/>
  <c r="F356" i="3" l="1"/>
  <c r="G356" i="3"/>
  <c r="M356" i="3" s="1"/>
  <c r="N356" i="3" s="1"/>
  <c r="V356" i="3"/>
  <c r="A357" i="3"/>
  <c r="B357" i="3" s="1"/>
  <c r="I356" i="3" l="1"/>
  <c r="W356" i="3" s="1"/>
  <c r="J356" i="3"/>
  <c r="Z357" i="3"/>
  <c r="P357" i="3"/>
  <c r="Q357" i="3" s="1"/>
  <c r="R357" i="3" s="1"/>
  <c r="S357" i="3" s="1"/>
  <c r="AC357" i="3"/>
  <c r="AA357" i="3"/>
  <c r="L356" i="3" l="1"/>
  <c r="U356" i="3" s="1"/>
  <c r="AD356" i="3"/>
  <c r="T357" i="3"/>
  <c r="Y355" i="3" l="1"/>
  <c r="AG357" i="3"/>
  <c r="AH357" i="3"/>
  <c r="E357" i="3"/>
  <c r="H357" i="3" s="1"/>
  <c r="D357" i="3"/>
  <c r="F357" i="3" l="1"/>
  <c r="G357" i="3"/>
  <c r="K357" i="3"/>
  <c r="AE357" i="3" s="1"/>
  <c r="V357" i="3" l="1"/>
  <c r="A358" i="3"/>
  <c r="B358" i="3" s="1"/>
  <c r="I357" i="3"/>
  <c r="J357" i="3"/>
  <c r="AD357" i="3" s="1"/>
  <c r="M357" i="3"/>
  <c r="N357" i="3" s="1"/>
  <c r="W357" i="3" l="1"/>
  <c r="L357" i="3"/>
  <c r="P358" i="3"/>
  <c r="Q358" i="3" s="1"/>
  <c r="R358" i="3" s="1"/>
  <c r="S358" i="3" s="1"/>
  <c r="Z358" i="3"/>
  <c r="AA358" i="3"/>
  <c r="AC358" i="3"/>
  <c r="T358" i="3" l="1"/>
  <c r="AH358" i="3" s="1"/>
  <c r="U357" i="3"/>
  <c r="Y356" i="3"/>
  <c r="D358" i="3" l="1"/>
  <c r="G358" i="3" s="1"/>
  <c r="E358" i="3"/>
  <c r="H358" i="3" s="1"/>
  <c r="AG358" i="3"/>
  <c r="I358" i="3" l="1"/>
  <c r="J358" i="3"/>
  <c r="AD358" i="3" s="1"/>
  <c r="M358" i="3"/>
  <c r="N358" i="3" s="1"/>
  <c r="F358" i="3"/>
  <c r="K358" i="3"/>
  <c r="AE358" i="3" s="1"/>
  <c r="V358" i="3" l="1"/>
  <c r="W358" i="3" s="1"/>
  <c r="A359" i="3"/>
  <c r="B359" i="3" s="1"/>
  <c r="L358" i="3"/>
  <c r="U358" i="3" l="1"/>
  <c r="Y357" i="3"/>
  <c r="P359" i="3"/>
  <c r="Q359" i="3" s="1"/>
  <c r="R359" i="3" s="1"/>
  <c r="S359" i="3" s="1"/>
  <c r="AC359" i="3"/>
  <c r="AA359" i="3"/>
  <c r="Z359" i="3"/>
  <c r="T359" i="3" l="1"/>
  <c r="AG359" i="3" s="1"/>
  <c r="AH359" i="3" l="1"/>
  <c r="E359" i="3"/>
  <c r="H359" i="3" s="1"/>
  <c r="D359" i="3"/>
  <c r="K359" i="3" l="1"/>
  <c r="AE359" i="3" s="1"/>
  <c r="F359" i="3"/>
  <c r="G359" i="3"/>
  <c r="I359" i="3" l="1"/>
  <c r="J359" i="3"/>
  <c r="AD359" i="3" s="1"/>
  <c r="M359" i="3"/>
  <c r="N359" i="3" s="1"/>
  <c r="V359" i="3"/>
  <c r="A360" i="3"/>
  <c r="B360" i="3" s="1"/>
  <c r="W359" i="3" l="1"/>
  <c r="L359" i="3"/>
  <c r="AC360" i="3"/>
  <c r="AA360" i="3"/>
  <c r="P360" i="3"/>
  <c r="Q360" i="3" s="1"/>
  <c r="R360" i="3" s="1"/>
  <c r="S360" i="3" s="1"/>
  <c r="Z360" i="3"/>
  <c r="T360" i="3" l="1"/>
  <c r="AH360" i="3" s="1"/>
  <c r="U359" i="3"/>
  <c r="Y358" i="3"/>
  <c r="E360" i="3" l="1"/>
  <c r="H360" i="3" s="1"/>
  <c r="K360" i="3" s="1"/>
  <c r="AE360" i="3" s="1"/>
  <c r="AG360" i="3"/>
  <c r="D360" i="3"/>
  <c r="F360" i="3" l="1"/>
  <c r="G360" i="3"/>
  <c r="V360" i="3"/>
  <c r="A361" i="3"/>
  <c r="B361" i="3" s="1"/>
  <c r="Z361" i="3" l="1"/>
  <c r="P361" i="3"/>
  <c r="Q361" i="3" s="1"/>
  <c r="R361" i="3" s="1"/>
  <c r="S361" i="3" s="1"/>
  <c r="AC361" i="3"/>
  <c r="AA361" i="3"/>
  <c r="I360" i="3"/>
  <c r="W360" i="3" s="1"/>
  <c r="J360" i="3"/>
  <c r="AD360" i="3" s="1"/>
  <c r="M360" i="3"/>
  <c r="N360" i="3" s="1"/>
  <c r="T361" i="3" l="1"/>
  <c r="L360" i="3"/>
  <c r="AG361" i="3" l="1"/>
  <c r="AH361" i="3"/>
  <c r="U360" i="3"/>
  <c r="E361" i="3" s="1"/>
  <c r="H361" i="3" s="1"/>
  <c r="Y359" i="3"/>
  <c r="D361" i="3" l="1"/>
  <c r="G361" i="3" s="1"/>
  <c r="K361" i="3"/>
  <c r="AE361" i="3" s="1"/>
  <c r="F361" i="3" l="1"/>
  <c r="I361" i="3"/>
  <c r="J361" i="3"/>
  <c r="AD361" i="3" s="1"/>
  <c r="M361" i="3"/>
  <c r="N361" i="3" s="1"/>
  <c r="V361" i="3"/>
  <c r="A362" i="3"/>
  <c r="B362" i="3" s="1"/>
  <c r="W361" i="3" l="1"/>
  <c r="L361" i="3"/>
  <c r="AC362" i="3"/>
  <c r="Z362" i="3"/>
  <c r="P362" i="3"/>
  <c r="Q362" i="3" s="1"/>
  <c r="R362" i="3" s="1"/>
  <c r="S362" i="3" s="1"/>
  <c r="AA362" i="3"/>
  <c r="U361" i="3" l="1"/>
  <c r="Y360" i="3"/>
  <c r="T362" i="3"/>
  <c r="AH362" i="3" s="1"/>
  <c r="D362" i="3" l="1"/>
  <c r="G362" i="3" s="1"/>
  <c r="E362" i="3"/>
  <c r="H362" i="3" s="1"/>
  <c r="K362" i="3" s="1"/>
  <c r="AE362" i="3" s="1"/>
  <c r="AG362" i="3"/>
  <c r="F362" i="3" l="1"/>
  <c r="I362" i="3"/>
  <c r="J362" i="3"/>
  <c r="AD362" i="3" s="1"/>
  <c r="M362" i="3"/>
  <c r="N362" i="3" s="1"/>
  <c r="V362" i="3"/>
  <c r="A363" i="3"/>
  <c r="B363" i="3" s="1"/>
  <c r="W362" i="3" l="1"/>
  <c r="L362" i="3"/>
  <c r="P363" i="3"/>
  <c r="Q363" i="3" s="1"/>
  <c r="R363" i="3" s="1"/>
  <c r="S363" i="3" s="1"/>
  <c r="AA363" i="3"/>
  <c r="Z363" i="3"/>
  <c r="AC363" i="3"/>
  <c r="T363" i="3" l="1"/>
  <c r="U362" i="3"/>
  <c r="Y361" i="3"/>
  <c r="E363" i="3" l="1"/>
  <c r="H363" i="3" s="1"/>
  <c r="K363" i="3" s="1"/>
  <c r="AE363" i="3" s="1"/>
  <c r="AH363" i="3"/>
  <c r="D363" i="3"/>
  <c r="AG363" i="3"/>
  <c r="F363" i="3" l="1"/>
  <c r="G363" i="3"/>
  <c r="M363" i="3" s="1"/>
  <c r="N363" i="3" s="1"/>
  <c r="V363" i="3"/>
  <c r="A364" i="3"/>
  <c r="B364" i="3" s="1"/>
  <c r="I363" i="3" l="1"/>
  <c r="W363" i="3" s="1"/>
  <c r="J363" i="3"/>
  <c r="P364" i="3"/>
  <c r="Q364" i="3" s="1"/>
  <c r="R364" i="3" s="1"/>
  <c r="S364" i="3" s="1"/>
  <c r="Z364" i="3"/>
  <c r="AC364" i="3"/>
  <c r="AA364" i="3"/>
  <c r="L363" i="3" l="1"/>
  <c r="U363" i="3" s="1"/>
  <c r="AD363" i="3"/>
  <c r="T364" i="3"/>
  <c r="Y362" i="3" l="1"/>
  <c r="D364" i="3"/>
  <c r="G364" i="3" s="1"/>
  <c r="E364" i="3"/>
  <c r="H364" i="3" s="1"/>
  <c r="K364" i="3" s="1"/>
  <c r="AE364" i="3" s="1"/>
  <c r="AG364" i="3"/>
  <c r="AH364" i="3"/>
  <c r="F364" i="3" l="1"/>
  <c r="V364" i="3"/>
  <c r="A365" i="3"/>
  <c r="B365" i="3" s="1"/>
  <c r="I364" i="3"/>
  <c r="J364" i="3"/>
  <c r="AD364" i="3" s="1"/>
  <c r="M364" i="3"/>
  <c r="N364" i="3" s="1"/>
  <c r="W364" i="3" l="1"/>
  <c r="L364" i="3"/>
  <c r="AC365" i="3"/>
  <c r="P365" i="3"/>
  <c r="Q365" i="3" s="1"/>
  <c r="R365" i="3" s="1"/>
  <c r="S365" i="3" s="1"/>
  <c r="AA365" i="3"/>
  <c r="Z365" i="3"/>
  <c r="U364" i="3" l="1"/>
  <c r="Y363" i="3"/>
  <c r="T365" i="3"/>
  <c r="AH365" i="3" s="1"/>
  <c r="D365" i="3" l="1"/>
  <c r="G365" i="3" s="1"/>
  <c r="AG365" i="3"/>
  <c r="E365" i="3"/>
  <c r="H365" i="3" s="1"/>
  <c r="K365" i="3" s="1"/>
  <c r="AE365" i="3" s="1"/>
  <c r="F365" i="3" l="1"/>
  <c r="I365" i="3"/>
  <c r="J365" i="3"/>
  <c r="AD365" i="3" s="1"/>
  <c r="M365" i="3"/>
  <c r="N365" i="3" s="1"/>
  <c r="V365" i="3"/>
  <c r="A366" i="3"/>
  <c r="B366" i="3" s="1"/>
  <c r="W365" i="3" l="1"/>
  <c r="L365" i="3"/>
  <c r="AC366" i="3"/>
  <c r="P366" i="3"/>
  <c r="Q366" i="3" s="1"/>
  <c r="R366" i="3" s="1"/>
  <c r="S366" i="3" s="1"/>
  <c r="AA366" i="3"/>
  <c r="Z366" i="3"/>
  <c r="U365" i="3" l="1"/>
  <c r="Y364" i="3"/>
  <c r="T366" i="3"/>
  <c r="E366" i="3" l="1"/>
  <c r="H366" i="3" s="1"/>
  <c r="K366" i="3" s="1"/>
  <c r="AE366" i="3" s="1"/>
  <c r="AH366" i="3"/>
  <c r="D366" i="3"/>
  <c r="G366" i="3" s="1"/>
  <c r="AG366" i="3"/>
  <c r="F366" i="3" l="1"/>
  <c r="V366" i="3"/>
  <c r="A367" i="3"/>
  <c r="B367" i="3" s="1"/>
  <c r="I366" i="3"/>
  <c r="J366" i="3"/>
  <c r="AD366" i="3" s="1"/>
  <c r="M366" i="3"/>
  <c r="N366" i="3" s="1"/>
  <c r="W366" i="3" l="1"/>
  <c r="L366" i="3"/>
  <c r="Z367" i="3"/>
  <c r="P367" i="3"/>
  <c r="Q367" i="3" s="1"/>
  <c r="R367" i="3" s="1"/>
  <c r="S367" i="3" s="1"/>
  <c r="AC367" i="3"/>
  <c r="AA367" i="3"/>
  <c r="T367" i="3" l="1"/>
  <c r="AG367" i="3" s="1"/>
  <c r="U366" i="3"/>
  <c r="Y365" i="3"/>
  <c r="D367" i="3" l="1"/>
  <c r="AH367" i="3"/>
  <c r="E367" i="3"/>
  <c r="H367" i="3" s="1"/>
  <c r="F367" i="3" l="1"/>
  <c r="G367" i="3"/>
  <c r="K367" i="3"/>
  <c r="AE367" i="3" s="1"/>
  <c r="I367" i="3" l="1"/>
  <c r="J367" i="3"/>
  <c r="AD367" i="3" s="1"/>
  <c r="M367" i="3"/>
  <c r="N367" i="3" s="1"/>
  <c r="V367" i="3"/>
  <c r="A368" i="3"/>
  <c r="B368" i="3" s="1"/>
  <c r="L367" i="3" l="1"/>
  <c r="W367" i="3"/>
  <c r="Z368" i="3"/>
  <c r="P368" i="3"/>
  <c r="Q368" i="3" s="1"/>
  <c r="R368" i="3" s="1"/>
  <c r="S368" i="3" s="1"/>
  <c r="AC368" i="3"/>
  <c r="AA368" i="3"/>
  <c r="T368" i="3" l="1"/>
  <c r="AH368" i="3" s="1"/>
  <c r="U367" i="3"/>
  <c r="Y366" i="3"/>
  <c r="E368" i="3" l="1"/>
  <c r="H368" i="3" s="1"/>
  <c r="K368" i="3" s="1"/>
  <c r="AE368" i="3" s="1"/>
  <c r="D368" i="3"/>
  <c r="AG368" i="3"/>
  <c r="V368" i="3" l="1"/>
  <c r="A369" i="3"/>
  <c r="B369" i="3" s="1"/>
  <c r="F368" i="3"/>
  <c r="G368" i="3"/>
  <c r="I368" i="3" l="1"/>
  <c r="W368" i="3" s="1"/>
  <c r="J368" i="3"/>
  <c r="AD368" i="3" s="1"/>
  <c r="M368" i="3"/>
  <c r="N368" i="3" s="1"/>
  <c r="Z369" i="3"/>
  <c r="AC369" i="3"/>
  <c r="P369" i="3"/>
  <c r="Q369" i="3" s="1"/>
  <c r="R369" i="3" s="1"/>
  <c r="S369" i="3" s="1"/>
  <c r="AA369" i="3"/>
  <c r="T369" i="3" l="1"/>
  <c r="L368" i="3"/>
  <c r="AH369" i="3" l="1"/>
  <c r="AG369" i="3"/>
  <c r="U368" i="3"/>
  <c r="E369" i="3" s="1"/>
  <c r="H369" i="3" s="1"/>
  <c r="Y367" i="3"/>
  <c r="D369" i="3" l="1"/>
  <c r="F369" i="3" s="1"/>
  <c r="K369" i="3"/>
  <c r="AE369" i="3" s="1"/>
  <c r="G369" i="3" l="1"/>
  <c r="M369" i="3" s="1"/>
  <c r="N369" i="3" s="1"/>
  <c r="V369" i="3"/>
  <c r="A370" i="3"/>
  <c r="B370" i="3" s="1"/>
  <c r="J369" i="3" l="1"/>
  <c r="I369" i="3"/>
  <c r="W369" i="3" s="1"/>
  <c r="AA370" i="3"/>
  <c r="P370" i="3"/>
  <c r="Q370" i="3" s="1"/>
  <c r="R370" i="3" s="1"/>
  <c r="S370" i="3" s="1"/>
  <c r="AC370" i="3"/>
  <c r="Z370" i="3"/>
  <c r="L369" i="3" l="1"/>
  <c r="U369" i="3" s="1"/>
  <c r="AD369" i="3"/>
  <c r="T370" i="3"/>
  <c r="AG370" i="3" l="1"/>
  <c r="Y368" i="3"/>
  <c r="E370" i="3"/>
  <c r="H370" i="3" s="1"/>
  <c r="K370" i="3" s="1"/>
  <c r="AE370" i="3" s="1"/>
  <c r="AH370" i="3"/>
  <c r="D370" i="3"/>
  <c r="F370" i="3" l="1"/>
  <c r="G370" i="3"/>
  <c r="M370" i="3" s="1"/>
  <c r="N370" i="3" s="1"/>
  <c r="V370" i="3"/>
  <c r="A371" i="3"/>
  <c r="B371" i="3" s="1"/>
  <c r="I370" i="3" l="1"/>
  <c r="W370" i="3" s="1"/>
  <c r="J370" i="3"/>
  <c r="AC371" i="3"/>
  <c r="P371" i="3"/>
  <c r="Q371" i="3" s="1"/>
  <c r="R371" i="3" s="1"/>
  <c r="S371" i="3" s="1"/>
  <c r="AA371" i="3"/>
  <c r="Z371" i="3"/>
  <c r="L370" i="3" l="1"/>
  <c r="U370" i="3" s="1"/>
  <c r="AD370" i="3"/>
  <c r="T371" i="3"/>
  <c r="Y369" i="3" l="1"/>
  <c r="AG371" i="3"/>
  <c r="E371" i="3"/>
  <c r="H371" i="3" s="1"/>
  <c r="K371" i="3" s="1"/>
  <c r="AE371" i="3" s="1"/>
  <c r="D371" i="3"/>
  <c r="AH371" i="3"/>
  <c r="V371" i="3" l="1"/>
  <c r="A372" i="3"/>
  <c r="B372" i="3" s="1"/>
  <c r="F371" i="3"/>
  <c r="G371" i="3"/>
  <c r="I371" i="3" l="1"/>
  <c r="W371" i="3" s="1"/>
  <c r="J371" i="3"/>
  <c r="AD371" i="3" s="1"/>
  <c r="M371" i="3"/>
  <c r="N371" i="3" s="1"/>
  <c r="P372" i="3"/>
  <c r="Q372" i="3" s="1"/>
  <c r="R372" i="3" s="1"/>
  <c r="S372" i="3" s="1"/>
  <c r="AA372" i="3"/>
  <c r="AC372" i="3"/>
  <c r="Z372" i="3"/>
  <c r="L371" i="3" l="1"/>
  <c r="T372" i="3"/>
  <c r="U371" i="3" l="1"/>
  <c r="E372" i="3" s="1"/>
  <c r="H372" i="3" s="1"/>
  <c r="AG372" i="3"/>
  <c r="AH372" i="3"/>
  <c r="Y370" i="3"/>
  <c r="D372" i="3" l="1"/>
  <c r="F372" i="3" s="1"/>
  <c r="K372" i="3"/>
  <c r="AE372" i="3" s="1"/>
  <c r="G372" i="3" l="1"/>
  <c r="M372" i="3" s="1"/>
  <c r="N372" i="3" s="1"/>
  <c r="V372" i="3"/>
  <c r="A373" i="3"/>
  <c r="B373" i="3" s="1"/>
  <c r="J372" i="3" l="1"/>
  <c r="I372" i="3"/>
  <c r="W372" i="3" s="1"/>
  <c r="Z373" i="3"/>
  <c r="AC373" i="3"/>
  <c r="P373" i="3"/>
  <c r="Q373" i="3" s="1"/>
  <c r="R373" i="3" s="1"/>
  <c r="S373" i="3" s="1"/>
  <c r="AA373" i="3"/>
  <c r="L372" i="3" l="1"/>
  <c r="U372" i="3" s="1"/>
  <c r="AD372" i="3"/>
  <c r="T373" i="3"/>
  <c r="AH373" i="3" l="1"/>
  <c r="Y371" i="3"/>
  <c r="D373" i="3"/>
  <c r="G373" i="3" s="1"/>
  <c r="E373" i="3"/>
  <c r="H373" i="3" s="1"/>
  <c r="AG373" i="3"/>
  <c r="F373" i="3" l="1"/>
  <c r="I373" i="3"/>
  <c r="J373" i="3"/>
  <c r="AD373" i="3" s="1"/>
  <c r="M373" i="3"/>
  <c r="N373" i="3" s="1"/>
  <c r="K373" i="3"/>
  <c r="AE373" i="3" s="1"/>
  <c r="V373" i="3" l="1"/>
  <c r="W373" i="3" s="1"/>
  <c r="A374" i="3"/>
  <c r="B374" i="3" s="1"/>
  <c r="L373" i="3"/>
  <c r="U373" i="3" l="1"/>
  <c r="Y372" i="3"/>
  <c r="AA374" i="3"/>
  <c r="AC374" i="3"/>
  <c r="Z374" i="3"/>
  <c r="P374" i="3"/>
  <c r="Q374" i="3" s="1"/>
  <c r="R374" i="3" s="1"/>
  <c r="S374" i="3" s="1"/>
  <c r="T374" i="3" l="1"/>
  <c r="AH374" i="3" s="1"/>
  <c r="AG374" i="3" l="1"/>
  <c r="E374" i="3"/>
  <c r="H374" i="3" s="1"/>
  <c r="K374" i="3" s="1"/>
  <c r="AE374" i="3" s="1"/>
  <c r="D374" i="3"/>
  <c r="F374" i="3" l="1"/>
  <c r="G374" i="3"/>
  <c r="I374" i="3" s="1"/>
  <c r="V374" i="3"/>
  <c r="A375" i="3"/>
  <c r="B375" i="3" s="1"/>
  <c r="J374" i="3" l="1"/>
  <c r="M374" i="3"/>
  <c r="N374" i="3" s="1"/>
  <c r="W374" i="3"/>
  <c r="P375" i="3"/>
  <c r="Q375" i="3" s="1"/>
  <c r="R375" i="3" s="1"/>
  <c r="S375" i="3" s="1"/>
  <c r="Z375" i="3"/>
  <c r="AC375" i="3"/>
  <c r="AA375" i="3"/>
  <c r="L374" i="3" l="1"/>
  <c r="Y373" i="3" s="1"/>
  <c r="AD374" i="3"/>
  <c r="T375" i="3"/>
  <c r="U374" i="3" l="1"/>
  <c r="E375" i="3" s="1"/>
  <c r="H375" i="3" s="1"/>
  <c r="K375" i="3" s="1"/>
  <c r="AE375" i="3" s="1"/>
  <c r="AG375" i="3"/>
  <c r="AH375" i="3"/>
  <c r="D375" i="3" l="1"/>
  <c r="G375" i="3" s="1"/>
  <c r="I375" i="3" s="1"/>
  <c r="V375" i="3"/>
  <c r="A376" i="3"/>
  <c r="B376" i="3" s="1"/>
  <c r="M375" i="3" l="1"/>
  <c r="N375" i="3" s="1"/>
  <c r="F375" i="3"/>
  <c r="J375" i="3"/>
  <c r="W375" i="3"/>
  <c r="AA376" i="3"/>
  <c r="P376" i="3"/>
  <c r="Q376" i="3" s="1"/>
  <c r="R376" i="3" s="1"/>
  <c r="S376" i="3" s="1"/>
  <c r="AC376" i="3"/>
  <c r="Z376" i="3"/>
  <c r="L375" i="3" l="1"/>
  <c r="U375" i="3" s="1"/>
  <c r="AD375" i="3"/>
  <c r="T376" i="3"/>
  <c r="Y374" i="3" l="1"/>
  <c r="D376" i="3"/>
  <c r="G376" i="3" s="1"/>
  <c r="AG376" i="3"/>
  <c r="AH376" i="3"/>
  <c r="E376" i="3"/>
  <c r="H376" i="3" s="1"/>
  <c r="F376" i="3" l="1"/>
  <c r="I376" i="3"/>
  <c r="J376" i="3"/>
  <c r="AD376" i="3" s="1"/>
  <c r="M376" i="3"/>
  <c r="N376" i="3" s="1"/>
  <c r="K376" i="3"/>
  <c r="AE376" i="3" s="1"/>
  <c r="V376" i="3" l="1"/>
  <c r="W376" i="3" s="1"/>
  <c r="A377" i="3"/>
  <c r="B377" i="3" s="1"/>
  <c r="L376" i="3"/>
  <c r="AC377" i="3" l="1"/>
  <c r="AA377" i="3"/>
  <c r="P377" i="3"/>
  <c r="Q377" i="3" s="1"/>
  <c r="R377" i="3" s="1"/>
  <c r="S377" i="3" s="1"/>
  <c r="Z377" i="3"/>
  <c r="U376" i="3"/>
  <c r="Y375" i="3"/>
  <c r="T377" i="3" l="1"/>
  <c r="AH377" i="3" s="1"/>
  <c r="E377" i="3" l="1"/>
  <c r="H377" i="3" s="1"/>
  <c r="K377" i="3" s="1"/>
  <c r="AE377" i="3" s="1"/>
  <c r="D377" i="3"/>
  <c r="AG377" i="3"/>
  <c r="F377" i="3" l="1"/>
  <c r="G377" i="3"/>
  <c r="M377" i="3" s="1"/>
  <c r="N377" i="3" s="1"/>
  <c r="V377" i="3"/>
  <c r="A378" i="3"/>
  <c r="B378" i="3" s="1"/>
  <c r="I377" i="3" l="1"/>
  <c r="W377" i="3" s="1"/>
  <c r="J377" i="3"/>
  <c r="Z378" i="3"/>
  <c r="AC378" i="3"/>
  <c r="P378" i="3"/>
  <c r="Q378" i="3" s="1"/>
  <c r="R378" i="3" s="1"/>
  <c r="S378" i="3" s="1"/>
  <c r="AA378" i="3"/>
  <c r="L377" i="3" l="1"/>
  <c r="U377" i="3" s="1"/>
  <c r="AD377" i="3"/>
  <c r="T378" i="3"/>
  <c r="Y376" i="3" l="1"/>
  <c r="D378" i="3"/>
  <c r="G378" i="3" s="1"/>
  <c r="AG378" i="3"/>
  <c r="E378" i="3"/>
  <c r="H378" i="3" s="1"/>
  <c r="K378" i="3" s="1"/>
  <c r="AE378" i="3" s="1"/>
  <c r="AH378" i="3"/>
  <c r="F378" i="3" l="1"/>
  <c r="V378" i="3"/>
  <c r="A379" i="3"/>
  <c r="B379" i="3" s="1"/>
  <c r="I378" i="3"/>
  <c r="J378" i="3"/>
  <c r="AD378" i="3" s="1"/>
  <c r="M378" i="3"/>
  <c r="N378" i="3" s="1"/>
  <c r="W378" i="3" l="1"/>
  <c r="L378" i="3"/>
  <c r="Z379" i="3"/>
  <c r="AA379" i="3"/>
  <c r="P379" i="3"/>
  <c r="Q379" i="3" s="1"/>
  <c r="R379" i="3" s="1"/>
  <c r="S379" i="3" s="1"/>
  <c r="AC379" i="3"/>
  <c r="U378" i="3" l="1"/>
  <c r="Y377" i="3"/>
  <c r="T379" i="3"/>
  <c r="AH379" i="3" s="1"/>
  <c r="E379" i="3" l="1"/>
  <c r="H379" i="3" s="1"/>
  <c r="K379" i="3" s="1"/>
  <c r="AE379" i="3" s="1"/>
  <c r="D379" i="3"/>
  <c r="G379" i="3" s="1"/>
  <c r="AG379" i="3"/>
  <c r="F379" i="3" l="1"/>
  <c r="I379" i="3"/>
  <c r="J379" i="3"/>
  <c r="AD379" i="3" s="1"/>
  <c r="M379" i="3"/>
  <c r="N379" i="3" s="1"/>
  <c r="V379" i="3"/>
  <c r="A380" i="3"/>
  <c r="B380" i="3" s="1"/>
  <c r="W379" i="3" l="1"/>
  <c r="L379" i="3"/>
  <c r="Z380" i="3"/>
  <c r="P380" i="3"/>
  <c r="Q380" i="3" s="1"/>
  <c r="R380" i="3" s="1"/>
  <c r="S380" i="3" s="1"/>
  <c r="AC380" i="3"/>
  <c r="AA380" i="3"/>
  <c r="T380" i="3" l="1"/>
  <c r="AH380" i="3" s="1"/>
  <c r="U379" i="3"/>
  <c r="Y378" i="3"/>
  <c r="AG380" i="3" l="1"/>
  <c r="E380" i="3"/>
  <c r="H380" i="3" s="1"/>
  <c r="K380" i="3" s="1"/>
  <c r="AE380" i="3" s="1"/>
  <c r="D380" i="3"/>
  <c r="V380" i="3" l="1"/>
  <c r="A381" i="3"/>
  <c r="B381" i="3" s="1"/>
  <c r="F380" i="3"/>
  <c r="G380" i="3"/>
  <c r="I380" i="3" l="1"/>
  <c r="W380" i="3" s="1"/>
  <c r="J380" i="3"/>
  <c r="AD380" i="3" s="1"/>
  <c r="M380" i="3"/>
  <c r="N380" i="3" s="1"/>
  <c r="Z381" i="3"/>
  <c r="AA381" i="3"/>
  <c r="AC381" i="3"/>
  <c r="P381" i="3"/>
  <c r="Q381" i="3" s="1"/>
  <c r="R381" i="3" s="1"/>
  <c r="S381" i="3" s="1"/>
  <c r="T381" i="3" l="1"/>
  <c r="L380" i="3"/>
  <c r="U380" i="3" l="1"/>
  <c r="E381" i="3" s="1"/>
  <c r="H381" i="3" s="1"/>
  <c r="AH381" i="3"/>
  <c r="AG381" i="3"/>
  <c r="Y379" i="3"/>
  <c r="K381" i="3" l="1"/>
  <c r="AE381" i="3" s="1"/>
  <c r="D381" i="3"/>
  <c r="V381" i="3" l="1"/>
  <c r="A382" i="3"/>
  <c r="B382" i="3" s="1"/>
  <c r="F381" i="3"/>
  <c r="G381" i="3"/>
  <c r="I381" i="3" l="1"/>
  <c r="W381" i="3" s="1"/>
  <c r="J381" i="3"/>
  <c r="AD381" i="3" s="1"/>
  <c r="M381" i="3"/>
  <c r="N381" i="3" s="1"/>
  <c r="AA382" i="3"/>
  <c r="Z382" i="3"/>
  <c r="P382" i="3"/>
  <c r="Q382" i="3" s="1"/>
  <c r="R382" i="3" s="1"/>
  <c r="S382" i="3" s="1"/>
  <c r="AC382" i="3"/>
  <c r="L381" i="3" l="1"/>
  <c r="T382" i="3"/>
  <c r="U381" i="3" l="1"/>
  <c r="E382" i="3" s="1"/>
  <c r="H382" i="3" s="1"/>
  <c r="AH382" i="3"/>
  <c r="AG382" i="3"/>
  <c r="Y380" i="3"/>
  <c r="D382" i="3" l="1"/>
  <c r="G382" i="3" s="1"/>
  <c r="K382" i="3"/>
  <c r="AE382" i="3" s="1"/>
  <c r="F382" i="3" l="1"/>
  <c r="I382" i="3"/>
  <c r="J382" i="3"/>
  <c r="AD382" i="3" s="1"/>
  <c r="M382" i="3"/>
  <c r="N382" i="3" s="1"/>
  <c r="V382" i="3"/>
  <c r="A383" i="3"/>
  <c r="B383" i="3" s="1"/>
  <c r="W382" i="3" l="1"/>
  <c r="L382" i="3"/>
  <c r="AA383" i="3"/>
  <c r="P383" i="3"/>
  <c r="Q383" i="3" s="1"/>
  <c r="R383" i="3" s="1"/>
  <c r="S383" i="3" s="1"/>
  <c r="Z383" i="3"/>
  <c r="AC383" i="3"/>
  <c r="U382" i="3" l="1"/>
  <c r="Y381" i="3"/>
  <c r="T383" i="3"/>
  <c r="E383" i="3" l="1"/>
  <c r="H383" i="3" s="1"/>
  <c r="K383" i="3" s="1"/>
  <c r="AE383" i="3" s="1"/>
  <c r="D383" i="3"/>
  <c r="AH383" i="3"/>
  <c r="AG383" i="3"/>
  <c r="V383" i="3" l="1"/>
  <c r="A384" i="3"/>
  <c r="B384" i="3" s="1"/>
  <c r="F383" i="3"/>
  <c r="G383" i="3"/>
  <c r="I383" i="3" l="1"/>
  <c r="W383" i="3" s="1"/>
  <c r="J383" i="3"/>
  <c r="AD383" i="3" s="1"/>
  <c r="M383" i="3"/>
  <c r="N383" i="3" s="1"/>
  <c r="P384" i="3"/>
  <c r="Q384" i="3" s="1"/>
  <c r="R384" i="3" s="1"/>
  <c r="S384" i="3" s="1"/>
  <c r="Z384" i="3"/>
  <c r="AC384" i="3"/>
  <c r="AA384" i="3"/>
  <c r="T384" i="3" l="1"/>
  <c r="L383" i="3"/>
  <c r="AG384" i="3" l="1"/>
  <c r="AH384" i="3"/>
  <c r="U383" i="3"/>
  <c r="D384" i="3" s="1"/>
  <c r="Y382" i="3"/>
  <c r="E384" i="3" l="1"/>
  <c r="H384" i="3" s="1"/>
  <c r="K384" i="3" s="1"/>
  <c r="AE384" i="3" s="1"/>
  <c r="G384" i="3"/>
  <c r="F384" i="3" l="1"/>
  <c r="I384" i="3"/>
  <c r="J384" i="3"/>
  <c r="AD384" i="3" s="1"/>
  <c r="M384" i="3"/>
  <c r="N384" i="3" s="1"/>
  <c r="V384" i="3"/>
  <c r="A385" i="3"/>
  <c r="B385" i="3" s="1"/>
  <c r="W384" i="3" l="1"/>
  <c r="L384" i="3"/>
  <c r="P385" i="3"/>
  <c r="Q385" i="3" s="1"/>
  <c r="R385" i="3" s="1"/>
  <c r="S385" i="3" s="1"/>
  <c r="AD385" i="3"/>
  <c r="Z385" i="3"/>
  <c r="AC385" i="3"/>
  <c r="AA385" i="3"/>
  <c r="U384" i="3" l="1"/>
  <c r="Y383" i="3"/>
  <c r="T385" i="3"/>
  <c r="AG385" i="3" s="1"/>
  <c r="D385" i="3" l="1"/>
  <c r="G385" i="3" s="1"/>
  <c r="E385" i="3"/>
  <c r="H385" i="3" s="1"/>
  <c r="K385" i="3" s="1"/>
  <c r="AE385" i="3" s="1"/>
  <c r="AH385" i="3"/>
  <c r="F385" i="3" l="1"/>
  <c r="V385" i="3"/>
  <c r="A386" i="3"/>
  <c r="B386" i="3" s="1"/>
  <c r="I385" i="3"/>
  <c r="J385" i="3"/>
  <c r="M385" i="3"/>
  <c r="N385" i="3" s="1"/>
  <c r="L385" i="3" l="1"/>
  <c r="W385" i="3"/>
  <c r="AC386" i="3"/>
  <c r="P386" i="3"/>
  <c r="Q386" i="3" s="1"/>
  <c r="R386" i="3" s="1"/>
  <c r="S386" i="3" s="1"/>
  <c r="AA386" i="3"/>
  <c r="AD386" i="3"/>
  <c r="Z386" i="3"/>
  <c r="T386" i="3" l="1"/>
  <c r="AH386" i="3" s="1"/>
  <c r="U385" i="3"/>
  <c r="Y384" i="3"/>
  <c r="D386" i="3" l="1"/>
  <c r="E386" i="3"/>
  <c r="H386" i="3" s="1"/>
  <c r="AG386" i="3"/>
  <c r="F386" i="3" l="1"/>
  <c r="G386" i="3"/>
  <c r="K386" i="3"/>
  <c r="AE386" i="3" s="1"/>
  <c r="I386" i="3" l="1"/>
  <c r="J386" i="3"/>
  <c r="M386" i="3"/>
  <c r="N386" i="3" s="1"/>
  <c r="V386" i="3"/>
  <c r="A387" i="3"/>
  <c r="B387" i="3" s="1"/>
  <c r="W386" i="3" l="1"/>
  <c r="L386" i="3"/>
  <c r="AA387" i="3"/>
  <c r="P387" i="3"/>
  <c r="Q387" i="3" s="1"/>
  <c r="R387" i="3" s="1"/>
  <c r="S387" i="3" s="1"/>
  <c r="AC387" i="3"/>
  <c r="Z387" i="3"/>
  <c r="U386" i="3" l="1"/>
  <c r="Y385" i="3"/>
  <c r="T387" i="3"/>
  <c r="AG387" i="3" s="1"/>
  <c r="AH387" i="3" l="1"/>
  <c r="D387" i="3"/>
  <c r="G387" i="3" s="1"/>
  <c r="E387" i="3"/>
  <c r="H387" i="3" s="1"/>
  <c r="F387" i="3" l="1"/>
  <c r="I387" i="3"/>
  <c r="J387" i="3"/>
  <c r="AD387" i="3" s="1"/>
  <c r="M387" i="3"/>
  <c r="N387" i="3" s="1"/>
  <c r="K387" i="3"/>
  <c r="AE387" i="3" s="1"/>
  <c r="V387" i="3" l="1"/>
  <c r="W387" i="3" s="1"/>
  <c r="A388" i="3"/>
  <c r="B388" i="3" s="1"/>
  <c r="L387" i="3"/>
  <c r="U387" i="3" l="1"/>
  <c r="Y386" i="3"/>
  <c r="AA388" i="3"/>
  <c r="Z388" i="3"/>
  <c r="P388" i="3"/>
  <c r="Q388" i="3" s="1"/>
  <c r="R388" i="3" s="1"/>
  <c r="S388" i="3" s="1"/>
  <c r="AD388" i="3"/>
  <c r="AC388" i="3"/>
  <c r="T388" i="3" l="1"/>
  <c r="E388" i="3" s="1"/>
  <c r="H388" i="3" s="1"/>
  <c r="K388" i="3" l="1"/>
  <c r="AE388" i="3" s="1"/>
  <c r="D388" i="3"/>
  <c r="AG388" i="3"/>
  <c r="AH388" i="3"/>
  <c r="V388" i="3" l="1"/>
  <c r="A389" i="3"/>
  <c r="B389" i="3" s="1"/>
  <c r="F388" i="3"/>
  <c r="G388" i="3"/>
  <c r="I388" i="3" l="1"/>
  <c r="W388" i="3" s="1"/>
  <c r="J388" i="3"/>
  <c r="M388" i="3"/>
  <c r="N388" i="3" s="1"/>
  <c r="P389" i="3"/>
  <c r="Q389" i="3" s="1"/>
  <c r="R389" i="3" s="1"/>
  <c r="S389" i="3" s="1"/>
  <c r="AA389" i="3"/>
  <c r="AD389" i="3"/>
  <c r="AC389" i="3"/>
  <c r="Z389" i="3"/>
  <c r="T389" i="3" l="1"/>
  <c r="L388" i="3"/>
  <c r="U388" i="3" l="1"/>
  <c r="E389" i="3" s="1"/>
  <c r="H389" i="3" s="1"/>
  <c r="AH389" i="3"/>
  <c r="AG389" i="3"/>
  <c r="Y387" i="3"/>
  <c r="D389" i="3" l="1"/>
  <c r="G389" i="3" s="1"/>
  <c r="K389" i="3"/>
  <c r="AE389" i="3" s="1"/>
  <c r="F389" i="3" l="1"/>
  <c r="V389" i="3"/>
  <c r="A390" i="3"/>
  <c r="B390" i="3" s="1"/>
  <c r="I389" i="3"/>
  <c r="J389" i="3"/>
  <c r="M389" i="3"/>
  <c r="N389" i="3" s="1"/>
  <c r="W389" i="3" l="1"/>
  <c r="L389" i="3"/>
  <c r="P390" i="3"/>
  <c r="Q390" i="3" s="1"/>
  <c r="R390" i="3" s="1"/>
  <c r="S390" i="3" s="1"/>
  <c r="AC390" i="3"/>
  <c r="AA390" i="3"/>
  <c r="Z390" i="3"/>
  <c r="AD390" i="3"/>
  <c r="U389" i="3" l="1"/>
  <c r="Y388" i="3"/>
  <c r="T390" i="3"/>
  <c r="AG390" i="3" s="1"/>
  <c r="D390" i="3" l="1"/>
  <c r="AH390" i="3"/>
  <c r="E390" i="3"/>
  <c r="H390" i="3" s="1"/>
  <c r="F390" i="3" l="1"/>
  <c r="G390" i="3"/>
  <c r="K390" i="3"/>
  <c r="AE390" i="3" s="1"/>
  <c r="I390" i="3" l="1"/>
  <c r="J390" i="3"/>
  <c r="M390" i="3"/>
  <c r="N390" i="3" s="1"/>
  <c r="V390" i="3"/>
  <c r="A391" i="3"/>
  <c r="B391" i="3" s="1"/>
  <c r="W390" i="3" l="1"/>
  <c r="L390" i="3"/>
  <c r="AC391" i="3"/>
  <c r="AA391" i="3"/>
  <c r="Z391" i="3"/>
  <c r="P391" i="3"/>
  <c r="Q391" i="3" s="1"/>
  <c r="R391" i="3" s="1"/>
  <c r="S391" i="3" s="1"/>
  <c r="U390" i="3" l="1"/>
  <c r="Y389" i="3"/>
  <c r="T391" i="3"/>
  <c r="E391" i="3" l="1"/>
  <c r="H391" i="3" s="1"/>
  <c r="K391" i="3" s="1"/>
  <c r="AE391" i="3" s="1"/>
  <c r="AG391" i="3"/>
  <c r="AH391" i="3"/>
  <c r="D391" i="3"/>
  <c r="V391" i="3" l="1"/>
  <c r="A392" i="3"/>
  <c r="B392" i="3" s="1"/>
  <c r="F391" i="3"/>
  <c r="G391" i="3"/>
  <c r="I391" i="3" l="1"/>
  <c r="W391" i="3" s="1"/>
  <c r="J391" i="3"/>
  <c r="AD391" i="3" s="1"/>
  <c r="M391" i="3"/>
  <c r="N391" i="3" s="1"/>
  <c r="AD392" i="3"/>
  <c r="Z392" i="3"/>
  <c r="P392" i="3"/>
  <c r="Q392" i="3" s="1"/>
  <c r="R392" i="3" s="1"/>
  <c r="S392" i="3" s="1"/>
  <c r="AA392" i="3"/>
  <c r="AC392" i="3"/>
  <c r="T392" i="3" l="1"/>
  <c r="L391" i="3"/>
  <c r="U391" i="3" l="1"/>
  <c r="D392" i="3" s="1"/>
  <c r="AH392" i="3"/>
  <c r="AG392" i="3"/>
  <c r="Y390" i="3"/>
  <c r="G392" i="3" l="1"/>
  <c r="E392" i="3"/>
  <c r="H392" i="3" s="1"/>
  <c r="F392" i="3" l="1"/>
  <c r="I392" i="3"/>
  <c r="J392" i="3"/>
  <c r="M392" i="3"/>
  <c r="N392" i="3" s="1"/>
  <c r="K392" i="3"/>
  <c r="AE392" i="3" s="1"/>
  <c r="V392" i="3" l="1"/>
  <c r="W392" i="3" s="1"/>
  <c r="A393" i="3"/>
  <c r="B393" i="3" s="1"/>
  <c r="L392" i="3"/>
  <c r="U392" i="3" l="1"/>
  <c r="Y391" i="3"/>
  <c r="AD393" i="3"/>
  <c r="Z393" i="3"/>
  <c r="AA393" i="3"/>
  <c r="P393" i="3"/>
  <c r="Q393" i="3" s="1"/>
  <c r="R393" i="3" s="1"/>
  <c r="S393" i="3" s="1"/>
  <c r="AC393" i="3"/>
  <c r="T393" i="3" l="1"/>
  <c r="AG393" i="3" s="1"/>
  <c r="E393" i="3" l="1"/>
  <c r="H393" i="3" s="1"/>
  <c r="K393" i="3" s="1"/>
  <c r="AE393" i="3" s="1"/>
  <c r="D393" i="3"/>
  <c r="AH393" i="3"/>
  <c r="V393" i="3" l="1"/>
  <c r="A394" i="3"/>
  <c r="B394" i="3" s="1"/>
  <c r="F393" i="3"/>
  <c r="G393" i="3"/>
  <c r="I393" i="3" l="1"/>
  <c r="W393" i="3" s="1"/>
  <c r="J393" i="3"/>
  <c r="M393" i="3"/>
  <c r="N393" i="3" s="1"/>
  <c r="P394" i="3"/>
  <c r="Q394" i="3" s="1"/>
  <c r="R394" i="3" s="1"/>
  <c r="S394" i="3" s="1"/>
  <c r="AC394" i="3"/>
  <c r="Z394" i="3"/>
  <c r="AA394" i="3"/>
  <c r="T394" i="3" l="1"/>
  <c r="L393" i="3"/>
  <c r="AH394" i="3" l="1"/>
  <c r="AG394" i="3"/>
  <c r="U393" i="3"/>
  <c r="D394" i="3" s="1"/>
  <c r="Y392" i="3"/>
  <c r="G394" i="3" l="1"/>
  <c r="E394" i="3"/>
  <c r="H394" i="3" s="1"/>
  <c r="F394" i="3" l="1"/>
  <c r="I394" i="3"/>
  <c r="J394" i="3"/>
  <c r="AD394" i="3" s="1"/>
  <c r="M394" i="3"/>
  <c r="N394" i="3" s="1"/>
  <c r="K394" i="3"/>
  <c r="AE394" i="3" s="1"/>
  <c r="L394" i="3" l="1"/>
  <c r="V394" i="3"/>
  <c r="W394" i="3" s="1"/>
  <c r="A395" i="3"/>
  <c r="B395" i="3" s="1"/>
  <c r="U394" i="3" l="1"/>
  <c r="Y393" i="3"/>
  <c r="AA395" i="3"/>
  <c r="P395" i="3"/>
  <c r="Q395" i="3" s="1"/>
  <c r="R395" i="3" s="1"/>
  <c r="S395" i="3" s="1"/>
  <c r="Z395" i="3"/>
  <c r="AC395" i="3"/>
  <c r="T395" i="3" l="1"/>
  <c r="AG395" i="3" s="1"/>
  <c r="AH395" i="3" l="1"/>
  <c r="E395" i="3"/>
  <c r="H395" i="3" s="1"/>
  <c r="K395" i="3" s="1"/>
  <c r="AE395" i="3" s="1"/>
  <c r="D395" i="3"/>
  <c r="G395" i="3" s="1"/>
  <c r="F395" i="3" l="1"/>
  <c r="V395" i="3"/>
  <c r="A396" i="3"/>
  <c r="B396" i="3" s="1"/>
  <c r="I395" i="3"/>
  <c r="J395" i="3"/>
  <c r="AD395" i="3" s="1"/>
  <c r="M395" i="3"/>
  <c r="N395" i="3" s="1"/>
  <c r="W395" i="3" l="1"/>
  <c r="L395" i="3"/>
  <c r="AA396" i="3"/>
  <c r="Z396" i="3"/>
  <c r="P396" i="3"/>
  <c r="Q396" i="3" s="1"/>
  <c r="R396" i="3" s="1"/>
  <c r="S396" i="3" s="1"/>
  <c r="AC396" i="3"/>
  <c r="U395" i="3" l="1"/>
  <c r="Y394" i="3"/>
  <c r="T396" i="3"/>
  <c r="E396" i="3" l="1"/>
  <c r="H396" i="3" s="1"/>
  <c r="K396" i="3" s="1"/>
  <c r="AE396" i="3" s="1"/>
  <c r="AG396" i="3"/>
  <c r="AH396" i="3"/>
  <c r="D396" i="3"/>
  <c r="F396" i="3" l="1"/>
  <c r="G396" i="3"/>
  <c r="V396" i="3"/>
  <c r="A397" i="3"/>
  <c r="B397" i="3" s="1"/>
  <c r="P397" i="3" l="1"/>
  <c r="Q397" i="3" s="1"/>
  <c r="R397" i="3" s="1"/>
  <c r="S397" i="3" s="1"/>
  <c r="AC397" i="3"/>
  <c r="AA397" i="3"/>
  <c r="Z397" i="3"/>
  <c r="I396" i="3"/>
  <c r="W396" i="3" s="1"/>
  <c r="J396" i="3"/>
  <c r="AD396" i="3" s="1"/>
  <c r="M396" i="3"/>
  <c r="N396" i="3" s="1"/>
  <c r="T397" i="3" l="1"/>
  <c r="L396" i="3"/>
  <c r="U396" i="3" l="1"/>
  <c r="E397" i="3" s="1"/>
  <c r="H397" i="3" s="1"/>
  <c r="AG397" i="3"/>
  <c r="AH397" i="3"/>
  <c r="Y395" i="3"/>
  <c r="D397" i="3" l="1"/>
  <c r="F397" i="3" s="1"/>
  <c r="K397" i="3"/>
  <c r="AE397" i="3" s="1"/>
  <c r="G397" i="3" l="1"/>
  <c r="M397" i="3" s="1"/>
  <c r="N397" i="3" s="1"/>
  <c r="V397" i="3"/>
  <c r="A398" i="3"/>
  <c r="B398" i="3" s="1"/>
  <c r="I397" i="3" l="1"/>
  <c r="W397" i="3" s="1"/>
  <c r="J397" i="3"/>
  <c r="AC398" i="3"/>
  <c r="AA398" i="3"/>
  <c r="P398" i="3"/>
  <c r="Q398" i="3" s="1"/>
  <c r="R398" i="3" s="1"/>
  <c r="S398" i="3" s="1"/>
  <c r="Z398" i="3"/>
  <c r="L397" i="3" l="1"/>
  <c r="U397" i="3" s="1"/>
  <c r="AD397" i="3"/>
  <c r="T398" i="3"/>
  <c r="Y396" i="3" l="1"/>
  <c r="E398" i="3"/>
  <c r="H398" i="3" s="1"/>
  <c r="K398" i="3" s="1"/>
  <c r="AE398" i="3" s="1"/>
  <c r="D398" i="3"/>
  <c r="G398" i="3" s="1"/>
  <c r="AH398" i="3"/>
  <c r="AG398" i="3"/>
  <c r="F398" i="3" l="1"/>
  <c r="V398" i="3"/>
  <c r="A399" i="3"/>
  <c r="B399" i="3" s="1"/>
  <c r="I398" i="3"/>
  <c r="J398" i="3"/>
  <c r="AD398" i="3" s="1"/>
  <c r="M398" i="3"/>
  <c r="N398" i="3" s="1"/>
  <c r="L398" i="3" l="1"/>
  <c r="W398" i="3"/>
  <c r="Z399" i="3"/>
  <c r="P399" i="3"/>
  <c r="Q399" i="3" s="1"/>
  <c r="R399" i="3" s="1"/>
  <c r="S399" i="3" s="1"/>
  <c r="AA399" i="3"/>
  <c r="AC399" i="3"/>
  <c r="U398" i="3" l="1"/>
  <c r="Y397" i="3"/>
  <c r="T399" i="3"/>
  <c r="AH399" i="3" s="1"/>
  <c r="D399" i="3" l="1"/>
  <c r="G399" i="3" s="1"/>
  <c r="AG399" i="3"/>
  <c r="E399" i="3"/>
  <c r="H399" i="3" s="1"/>
  <c r="F399" i="3" l="1"/>
  <c r="I399" i="3"/>
  <c r="J399" i="3"/>
  <c r="AD399" i="3" s="1"/>
  <c r="M399" i="3"/>
  <c r="N399" i="3" s="1"/>
  <c r="K399" i="3"/>
  <c r="AE399" i="3" s="1"/>
  <c r="V399" i="3" l="1"/>
  <c r="W399" i="3" s="1"/>
  <c r="A400" i="3"/>
  <c r="B400" i="3" s="1"/>
  <c r="L399" i="3"/>
  <c r="U399" i="3" l="1"/>
  <c r="Y398" i="3"/>
  <c r="AC400" i="3"/>
  <c r="Z400" i="3"/>
  <c r="P400" i="3"/>
  <c r="Q400" i="3" s="1"/>
  <c r="R400" i="3" s="1"/>
  <c r="S400" i="3" s="1"/>
  <c r="AA400" i="3"/>
  <c r="T400" i="3" l="1"/>
  <c r="AH400" i="3" s="1"/>
  <c r="AG400" i="3" l="1"/>
  <c r="D400" i="3"/>
  <c r="G400" i="3" s="1"/>
  <c r="E400" i="3"/>
  <c r="H400" i="3" s="1"/>
  <c r="K400" i="3" s="1"/>
  <c r="AE400" i="3" s="1"/>
  <c r="F400" i="3" l="1"/>
  <c r="V400" i="3"/>
  <c r="A401" i="3"/>
  <c r="B401" i="3" s="1"/>
  <c r="I400" i="3"/>
  <c r="J400" i="3"/>
  <c r="AD400" i="3" s="1"/>
  <c r="M400" i="3"/>
  <c r="N400" i="3" s="1"/>
  <c r="W400" i="3" l="1"/>
  <c r="L400" i="3"/>
  <c r="AA401" i="3"/>
  <c r="Z401" i="3"/>
  <c r="AC401" i="3"/>
  <c r="P401" i="3"/>
  <c r="Q401" i="3" s="1"/>
  <c r="R401" i="3" s="1"/>
  <c r="S401" i="3" s="1"/>
  <c r="U400" i="3" l="1"/>
  <c r="Y399" i="3"/>
  <c r="T401" i="3"/>
  <c r="AG401" i="3" s="1"/>
  <c r="D401" i="3" l="1"/>
  <c r="E401" i="3"/>
  <c r="H401" i="3" s="1"/>
  <c r="K401" i="3" s="1"/>
  <c r="AE401" i="3" s="1"/>
  <c r="AH401" i="3"/>
  <c r="F401" i="3" l="1"/>
  <c r="G401" i="3"/>
  <c r="J401" i="3" s="1"/>
  <c r="AD401" i="3" s="1"/>
  <c r="V401" i="3"/>
  <c r="A402" i="3"/>
  <c r="B402" i="3" s="1"/>
  <c r="M401" i="3" l="1"/>
  <c r="N401" i="3" s="1"/>
  <c r="I401" i="3"/>
  <c r="W401" i="3" s="1"/>
  <c r="L401" i="3"/>
  <c r="AA402" i="3"/>
  <c r="AC402" i="3"/>
  <c r="Z402" i="3"/>
  <c r="P402" i="3"/>
  <c r="Q402" i="3" s="1"/>
  <c r="R402" i="3" s="1"/>
  <c r="S402" i="3" s="1"/>
  <c r="U401" i="3" l="1"/>
  <c r="Y400" i="3"/>
  <c r="T402" i="3"/>
  <c r="AG402" i="3" s="1"/>
  <c r="AH402" i="3" l="1"/>
  <c r="E402" i="3"/>
  <c r="H402" i="3" s="1"/>
  <c r="K402" i="3" s="1"/>
  <c r="AE402" i="3" s="1"/>
  <c r="D402" i="3"/>
  <c r="G402" i="3" s="1"/>
  <c r="F402" i="3" l="1"/>
  <c r="I402" i="3"/>
  <c r="J402" i="3"/>
  <c r="AD402" i="3" s="1"/>
  <c r="M402" i="3"/>
  <c r="N402" i="3" s="1"/>
  <c r="V402" i="3"/>
  <c r="A403" i="3"/>
  <c r="B403" i="3" s="1"/>
  <c r="W402" i="3" l="1"/>
  <c r="L402" i="3"/>
  <c r="AC403" i="3"/>
  <c r="AA403" i="3"/>
  <c r="P403" i="3"/>
  <c r="Q403" i="3" s="1"/>
  <c r="R403" i="3" s="1"/>
  <c r="S403" i="3" s="1"/>
  <c r="Z403" i="3"/>
  <c r="T403" i="3" l="1"/>
  <c r="AH403" i="3" s="1"/>
  <c r="U402" i="3"/>
  <c r="Y401" i="3"/>
  <c r="AG403" i="3" l="1"/>
  <c r="D403" i="3"/>
  <c r="E403" i="3"/>
  <c r="H403" i="3" s="1"/>
  <c r="F403" i="3" l="1"/>
  <c r="G403" i="3"/>
  <c r="K403" i="3"/>
  <c r="AE403" i="3" s="1"/>
  <c r="V403" i="3" l="1"/>
  <c r="A404" i="3"/>
  <c r="B404" i="3" s="1"/>
  <c r="I403" i="3"/>
  <c r="J403" i="3"/>
  <c r="AD403" i="3" s="1"/>
  <c r="M403" i="3"/>
  <c r="N403" i="3" s="1"/>
  <c r="W403" i="3" l="1"/>
  <c r="L403" i="3"/>
  <c r="P404" i="3"/>
  <c r="Q404" i="3" s="1"/>
  <c r="R404" i="3" s="1"/>
  <c r="S404" i="3" s="1"/>
  <c r="AA404" i="3"/>
  <c r="Z404" i="3"/>
  <c r="AC404" i="3"/>
  <c r="U403" i="3" l="1"/>
  <c r="Y402" i="3"/>
  <c r="T404" i="3"/>
  <c r="AG404" i="3" s="1"/>
  <c r="E404" i="3" l="1"/>
  <c r="H404" i="3" s="1"/>
  <c r="K404" i="3" s="1"/>
  <c r="AE404" i="3" s="1"/>
  <c r="AH404" i="3"/>
  <c r="D404" i="3"/>
  <c r="G404" i="3" s="1"/>
  <c r="F404" i="3" l="1"/>
  <c r="I404" i="3"/>
  <c r="J404" i="3"/>
  <c r="AD404" i="3" s="1"/>
  <c r="M404" i="3"/>
  <c r="N404" i="3" s="1"/>
  <c r="V404" i="3"/>
  <c r="A405" i="3"/>
  <c r="B405" i="3" s="1"/>
  <c r="W404" i="3" l="1"/>
  <c r="L404" i="3"/>
  <c r="P405" i="3"/>
  <c r="Q405" i="3" s="1"/>
  <c r="R405" i="3" s="1"/>
  <c r="S405" i="3" s="1"/>
  <c r="AC405" i="3"/>
  <c r="Z405" i="3"/>
  <c r="AD405" i="3"/>
  <c r="AA405" i="3"/>
  <c r="U404" i="3" l="1"/>
  <c r="Y403" i="3"/>
  <c r="T405" i="3"/>
  <c r="E405" i="3" l="1"/>
  <c r="H405" i="3" s="1"/>
  <c r="K405" i="3" s="1"/>
  <c r="AE405" i="3" s="1"/>
  <c r="AH405" i="3"/>
  <c r="D405" i="3"/>
  <c r="AG405" i="3"/>
  <c r="F405" i="3" l="1"/>
  <c r="G405" i="3"/>
  <c r="V405" i="3"/>
  <c r="A406" i="3"/>
  <c r="B406" i="3" s="1"/>
  <c r="AD406" i="3" l="1"/>
  <c r="AA406" i="3"/>
  <c r="AC406" i="3"/>
  <c r="Z406" i="3"/>
  <c r="P406" i="3"/>
  <c r="Q406" i="3" s="1"/>
  <c r="R406" i="3" s="1"/>
  <c r="S406" i="3" s="1"/>
  <c r="I405" i="3"/>
  <c r="W405" i="3" s="1"/>
  <c r="J405" i="3"/>
  <c r="M405" i="3"/>
  <c r="N405" i="3" s="1"/>
  <c r="T406" i="3" l="1"/>
  <c r="L405" i="3"/>
  <c r="U405" i="3" l="1"/>
  <c r="E406" i="3" s="1"/>
  <c r="H406" i="3" s="1"/>
  <c r="AH406" i="3"/>
  <c r="AG406" i="3"/>
  <c r="Y404" i="3"/>
  <c r="K406" i="3" l="1"/>
  <c r="AE406" i="3" s="1"/>
  <c r="D406" i="3"/>
  <c r="V406" i="3" l="1"/>
  <c r="A407" i="3"/>
  <c r="B407" i="3" s="1"/>
  <c r="F406" i="3"/>
  <c r="G406" i="3"/>
  <c r="I406" i="3" l="1"/>
  <c r="W406" i="3" s="1"/>
  <c r="J406" i="3"/>
  <c r="M406" i="3"/>
  <c r="N406" i="3" s="1"/>
  <c r="AC407" i="3"/>
  <c r="Z407" i="3"/>
  <c r="P407" i="3"/>
  <c r="Q407" i="3" s="1"/>
  <c r="R407" i="3" s="1"/>
  <c r="S407" i="3" s="1"/>
  <c r="AA407" i="3"/>
  <c r="L406" i="3" l="1"/>
  <c r="T407" i="3"/>
  <c r="U406" i="3" l="1"/>
  <c r="D407" i="3" s="1"/>
  <c r="AG407" i="3"/>
  <c r="AH407" i="3"/>
  <c r="Y405" i="3"/>
  <c r="G407" i="3" l="1"/>
  <c r="E407" i="3"/>
  <c r="H407" i="3" s="1"/>
  <c r="F407" i="3" l="1"/>
  <c r="I407" i="3"/>
  <c r="J407" i="3"/>
  <c r="AD407" i="3" s="1"/>
  <c r="M407" i="3"/>
  <c r="N407" i="3" s="1"/>
  <c r="K407" i="3"/>
  <c r="AE407" i="3" s="1"/>
  <c r="V407" i="3" l="1"/>
  <c r="W407" i="3" s="1"/>
  <c r="A408" i="3"/>
  <c r="B408" i="3" s="1"/>
  <c r="L407" i="3"/>
  <c r="U407" i="3" l="1"/>
  <c r="Y406" i="3"/>
  <c r="Z408" i="3"/>
  <c r="AC408" i="3"/>
  <c r="AD408" i="3"/>
  <c r="P408" i="3"/>
  <c r="Q408" i="3" s="1"/>
  <c r="R408" i="3" s="1"/>
  <c r="S408" i="3" s="1"/>
  <c r="AA408" i="3"/>
  <c r="T408" i="3" l="1"/>
  <c r="AH408" i="3" s="1"/>
  <c r="E408" i="3" l="1"/>
  <c r="H408" i="3" s="1"/>
  <c r="K408" i="3" s="1"/>
  <c r="AE408" i="3" s="1"/>
  <c r="D408" i="3"/>
  <c r="G408" i="3" s="1"/>
  <c r="AG408" i="3"/>
  <c r="F408" i="3" l="1"/>
  <c r="I408" i="3"/>
  <c r="J408" i="3"/>
  <c r="M408" i="3"/>
  <c r="N408" i="3" s="1"/>
  <c r="V408" i="3"/>
  <c r="A409" i="3"/>
  <c r="B409" i="3" s="1"/>
  <c r="W408" i="3" l="1"/>
  <c r="L408" i="3"/>
  <c r="AA409" i="3"/>
  <c r="AC409" i="3"/>
  <c r="P409" i="3"/>
  <c r="Q409" i="3" s="1"/>
  <c r="R409" i="3" s="1"/>
  <c r="S409" i="3" s="1"/>
  <c r="AD409" i="3"/>
  <c r="Z409" i="3"/>
  <c r="U408" i="3" l="1"/>
  <c r="Y407" i="3"/>
  <c r="T409" i="3"/>
  <c r="E409" i="3" l="1"/>
  <c r="H409" i="3" s="1"/>
  <c r="K409" i="3" s="1"/>
  <c r="AE409" i="3" s="1"/>
  <c r="AH409" i="3"/>
  <c r="D409" i="3"/>
  <c r="AG409" i="3"/>
  <c r="F409" i="3" l="1"/>
  <c r="G409" i="3"/>
  <c r="V409" i="3"/>
  <c r="A410" i="3"/>
  <c r="B410" i="3" s="1"/>
  <c r="P410" i="3" l="1"/>
  <c r="Q410" i="3" s="1"/>
  <c r="R410" i="3" s="1"/>
  <c r="S410" i="3" s="1"/>
  <c r="AA410" i="3"/>
  <c r="AC410" i="3"/>
  <c r="AD410" i="3"/>
  <c r="Z410" i="3"/>
  <c r="I409" i="3"/>
  <c r="W409" i="3" s="1"/>
  <c r="J409" i="3"/>
  <c r="M409" i="3"/>
  <c r="N409" i="3" s="1"/>
  <c r="T410" i="3" l="1"/>
  <c r="L409" i="3"/>
  <c r="AG410" i="3" l="1"/>
  <c r="U409" i="3"/>
  <c r="D410" i="3" s="1"/>
  <c r="AH410" i="3"/>
  <c r="Y408" i="3"/>
  <c r="E410" i="3" l="1"/>
  <c r="H410" i="3" s="1"/>
  <c r="K410" i="3" s="1"/>
  <c r="AE410" i="3" s="1"/>
  <c r="G410" i="3"/>
  <c r="F410" i="3" l="1"/>
  <c r="I410" i="3"/>
  <c r="J410" i="3"/>
  <c r="M410" i="3"/>
  <c r="N410" i="3" s="1"/>
  <c r="V410" i="3"/>
  <c r="A411" i="3"/>
  <c r="B411" i="3" s="1"/>
  <c r="W410" i="3" l="1"/>
  <c r="L410" i="3"/>
  <c r="AC411" i="3"/>
  <c r="P411" i="3"/>
  <c r="Q411" i="3" s="1"/>
  <c r="R411" i="3" s="1"/>
  <c r="S411" i="3" s="1"/>
  <c r="AA411" i="3"/>
  <c r="Z411" i="3"/>
  <c r="U410" i="3" l="1"/>
  <c r="Y409" i="3"/>
  <c r="T411" i="3"/>
  <c r="AG411" i="3" s="1"/>
  <c r="E411" i="3" l="1"/>
  <c r="H411" i="3" s="1"/>
  <c r="K411" i="3" s="1"/>
  <c r="AE411" i="3" s="1"/>
  <c r="AH411" i="3"/>
  <c r="D411" i="3"/>
  <c r="F411" i="3" l="1"/>
  <c r="G411" i="3"/>
  <c r="V411" i="3"/>
  <c r="A412" i="3"/>
  <c r="B412" i="3" s="1"/>
  <c r="AA412" i="3" l="1"/>
  <c r="AC412" i="3"/>
  <c r="P412" i="3"/>
  <c r="Q412" i="3" s="1"/>
  <c r="R412" i="3" s="1"/>
  <c r="S412" i="3" s="1"/>
  <c r="Z412" i="3"/>
  <c r="AD412" i="3"/>
  <c r="I411" i="3"/>
  <c r="W411" i="3" s="1"/>
  <c r="J411" i="3"/>
  <c r="AD411" i="3" s="1"/>
  <c r="M411" i="3"/>
  <c r="N411" i="3" s="1"/>
  <c r="T412" i="3" l="1"/>
  <c r="L411" i="3"/>
  <c r="U411" i="3" l="1"/>
  <c r="D412" i="3" s="1"/>
  <c r="AG412" i="3"/>
  <c r="AH412" i="3"/>
  <c r="Y410" i="3"/>
  <c r="G412" i="3" l="1"/>
  <c r="E412" i="3"/>
  <c r="H412" i="3" s="1"/>
  <c r="F412" i="3" l="1"/>
  <c r="I412" i="3"/>
  <c r="J412" i="3"/>
  <c r="M412" i="3"/>
  <c r="N412" i="3" s="1"/>
  <c r="K412" i="3"/>
  <c r="AE412" i="3" s="1"/>
  <c r="V412" i="3" l="1"/>
  <c r="W412" i="3" s="1"/>
  <c r="A413" i="3"/>
  <c r="B413" i="3" s="1"/>
  <c r="L412" i="3"/>
  <c r="U412" i="3" l="1"/>
  <c r="Y411" i="3"/>
  <c r="Z413" i="3"/>
  <c r="P413" i="3"/>
  <c r="Q413" i="3" s="1"/>
  <c r="R413" i="3" s="1"/>
  <c r="S413" i="3" s="1"/>
  <c r="AA413" i="3"/>
  <c r="AC413" i="3"/>
  <c r="AD413" i="3"/>
  <c r="T413" i="3" l="1"/>
  <c r="D413" i="3" s="1"/>
  <c r="E413" i="3" l="1"/>
  <c r="H413" i="3" s="1"/>
  <c r="K413" i="3" s="1"/>
  <c r="AE413" i="3" s="1"/>
  <c r="AH413" i="3"/>
  <c r="G413" i="3"/>
  <c r="AG413" i="3"/>
  <c r="F413" i="3" l="1"/>
  <c r="I413" i="3"/>
  <c r="J413" i="3"/>
  <c r="M413" i="3"/>
  <c r="N413" i="3" s="1"/>
  <c r="V413" i="3"/>
  <c r="A414" i="3"/>
  <c r="B414" i="3" s="1"/>
  <c r="L413" i="3" l="1"/>
  <c r="P414" i="3"/>
  <c r="Q414" i="3" s="1"/>
  <c r="R414" i="3" s="1"/>
  <c r="S414" i="3" s="1"/>
  <c r="Z414" i="3"/>
  <c r="AA414" i="3"/>
  <c r="AC414" i="3"/>
  <c r="W413" i="3"/>
  <c r="U413" i="3" l="1"/>
  <c r="Y412" i="3"/>
  <c r="T414" i="3"/>
  <c r="D414" i="3" l="1"/>
  <c r="G414" i="3" s="1"/>
  <c r="E414" i="3"/>
  <c r="H414" i="3" s="1"/>
  <c r="K414" i="3" s="1"/>
  <c r="AE414" i="3" s="1"/>
  <c r="AG414" i="3"/>
  <c r="AH414" i="3"/>
  <c r="F414" i="3" l="1"/>
  <c r="I414" i="3"/>
  <c r="J414" i="3"/>
  <c r="AD414" i="3" s="1"/>
  <c r="M414" i="3"/>
  <c r="N414" i="3" s="1"/>
  <c r="V414" i="3"/>
  <c r="A415" i="3"/>
  <c r="B415" i="3" s="1"/>
  <c r="W414" i="3" l="1"/>
  <c r="L414" i="3"/>
  <c r="P415" i="3"/>
  <c r="Q415" i="3" s="1"/>
  <c r="R415" i="3" s="1"/>
  <c r="S415" i="3" s="1"/>
  <c r="AA415" i="3"/>
  <c r="Z415" i="3"/>
  <c r="AC415" i="3"/>
  <c r="U414" i="3" l="1"/>
  <c r="Y413" i="3"/>
  <c r="T415" i="3"/>
  <c r="D415" i="3" l="1"/>
  <c r="G415" i="3" s="1"/>
  <c r="AG415" i="3"/>
  <c r="AH415" i="3"/>
  <c r="E415" i="3"/>
  <c r="H415" i="3" s="1"/>
  <c r="F415" i="3" l="1"/>
  <c r="K415" i="3"/>
  <c r="AE415" i="3" s="1"/>
  <c r="I415" i="3"/>
  <c r="J415" i="3"/>
  <c r="AD415" i="3" s="1"/>
  <c r="M415" i="3"/>
  <c r="N415" i="3" s="1"/>
  <c r="L415" i="3" l="1"/>
  <c r="V415" i="3"/>
  <c r="W415" i="3" s="1"/>
  <c r="A416" i="3"/>
  <c r="B416" i="3" s="1"/>
  <c r="Z416" i="3" l="1"/>
  <c r="AA416" i="3"/>
  <c r="P416" i="3"/>
  <c r="Q416" i="3" s="1"/>
  <c r="R416" i="3" s="1"/>
  <c r="S416" i="3" s="1"/>
  <c r="AC416" i="3"/>
  <c r="U415" i="3"/>
  <c r="Y414" i="3"/>
  <c r="T416" i="3" l="1"/>
  <c r="AG416" i="3" s="1"/>
  <c r="D416" i="3" l="1"/>
  <c r="G416" i="3" s="1"/>
  <c r="E416" i="3"/>
  <c r="H416" i="3" s="1"/>
  <c r="K416" i="3" s="1"/>
  <c r="AE416" i="3" s="1"/>
  <c r="AH416" i="3"/>
  <c r="F416" i="3" l="1"/>
  <c r="V416" i="3"/>
  <c r="A417" i="3"/>
  <c r="B417" i="3" s="1"/>
  <c r="I416" i="3"/>
  <c r="J416" i="3"/>
  <c r="AD416" i="3" s="1"/>
  <c r="M416" i="3"/>
  <c r="N416" i="3" s="1"/>
  <c r="W416" i="3" l="1"/>
  <c r="L416" i="3"/>
  <c r="Z417" i="3"/>
  <c r="AC417" i="3"/>
  <c r="AA417" i="3"/>
  <c r="P417" i="3"/>
  <c r="Q417" i="3" s="1"/>
  <c r="R417" i="3" s="1"/>
  <c r="S417" i="3" s="1"/>
  <c r="U416" i="3" l="1"/>
  <c r="Y415" i="3"/>
  <c r="T417" i="3"/>
  <c r="D417" i="3" l="1"/>
  <c r="G417" i="3" s="1"/>
  <c r="AH417" i="3"/>
  <c r="E417" i="3"/>
  <c r="H417" i="3" s="1"/>
  <c r="K417" i="3" s="1"/>
  <c r="AE417" i="3" s="1"/>
  <c r="AG417" i="3"/>
  <c r="F417" i="3" l="1"/>
  <c r="V417" i="3"/>
  <c r="A418" i="3"/>
  <c r="B418" i="3" s="1"/>
  <c r="I417" i="3"/>
  <c r="J417" i="3"/>
  <c r="AD417" i="3" s="1"/>
  <c r="M417" i="3"/>
  <c r="N417" i="3" s="1"/>
  <c r="W417" i="3" l="1"/>
  <c r="L417" i="3"/>
  <c r="Z418" i="3"/>
  <c r="AA418" i="3"/>
  <c r="AC418" i="3"/>
  <c r="P418" i="3"/>
  <c r="Q418" i="3" s="1"/>
  <c r="R418" i="3" s="1"/>
  <c r="S418" i="3" s="1"/>
  <c r="T418" i="3" l="1"/>
  <c r="U417" i="3"/>
  <c r="Y416" i="3"/>
  <c r="D418" i="3" l="1"/>
  <c r="G418" i="3" s="1"/>
  <c r="E418" i="3"/>
  <c r="H418" i="3" s="1"/>
  <c r="AG418" i="3"/>
  <c r="AH418" i="3"/>
  <c r="F418" i="3" l="1"/>
  <c r="I418" i="3"/>
  <c r="J418" i="3"/>
  <c r="AD418" i="3" s="1"/>
  <c r="M418" i="3"/>
  <c r="N418" i="3" s="1"/>
  <c r="K418" i="3"/>
  <c r="AE418" i="3" s="1"/>
  <c r="V418" i="3" l="1"/>
  <c r="W418" i="3" s="1"/>
  <c r="A419" i="3"/>
  <c r="B419" i="3" s="1"/>
  <c r="L418" i="3"/>
  <c r="U418" i="3" l="1"/>
  <c r="Y417" i="3"/>
  <c r="AA419" i="3"/>
  <c r="P419" i="3"/>
  <c r="Q419" i="3" s="1"/>
  <c r="R419" i="3" s="1"/>
  <c r="S419" i="3" s="1"/>
  <c r="Z419" i="3"/>
  <c r="AC419" i="3"/>
  <c r="T419" i="3" l="1"/>
  <c r="AG419" i="3" s="1"/>
  <c r="AH419" i="3" l="1"/>
  <c r="E419" i="3"/>
  <c r="H419" i="3" s="1"/>
  <c r="K419" i="3" s="1"/>
  <c r="AE419" i="3" s="1"/>
  <c r="D419" i="3"/>
  <c r="F419" i="3" l="1"/>
  <c r="G419" i="3"/>
  <c r="J419" i="3" s="1"/>
  <c r="AD419" i="3" s="1"/>
  <c r="V419" i="3"/>
  <c r="A420" i="3"/>
  <c r="B420" i="3" s="1"/>
  <c r="I419" i="3" l="1"/>
  <c r="W419" i="3" s="1"/>
  <c r="M419" i="3"/>
  <c r="N419" i="3" s="1"/>
  <c r="L419" i="3"/>
  <c r="AC420" i="3"/>
  <c r="AA420" i="3"/>
  <c r="Z420" i="3"/>
  <c r="P420" i="3"/>
  <c r="Q420" i="3" s="1"/>
  <c r="R420" i="3" s="1"/>
  <c r="S420" i="3" s="1"/>
  <c r="T420" i="3" l="1"/>
  <c r="AH420" i="3" s="1"/>
  <c r="U419" i="3"/>
  <c r="Y418" i="3"/>
  <c r="E420" i="3" l="1"/>
  <c r="H420" i="3" s="1"/>
  <c r="K420" i="3" s="1"/>
  <c r="AE420" i="3" s="1"/>
  <c r="D420" i="3"/>
  <c r="AG420" i="3"/>
  <c r="V420" i="3" l="1"/>
  <c r="A421" i="3"/>
  <c r="B421" i="3" s="1"/>
  <c r="F420" i="3"/>
  <c r="G420" i="3"/>
  <c r="I420" i="3" l="1"/>
  <c r="W420" i="3" s="1"/>
  <c r="J420" i="3"/>
  <c r="AD420" i="3" s="1"/>
  <c r="M420" i="3"/>
  <c r="N420" i="3" s="1"/>
  <c r="Z421" i="3"/>
  <c r="P421" i="3"/>
  <c r="Q421" i="3" s="1"/>
  <c r="R421" i="3" s="1"/>
  <c r="S421" i="3" s="1"/>
  <c r="AC421" i="3"/>
  <c r="AA421" i="3"/>
  <c r="T421" i="3" l="1"/>
  <c r="L420" i="3"/>
  <c r="U420" i="3" l="1"/>
  <c r="D421" i="3" s="1"/>
  <c r="AH421" i="3"/>
  <c r="AG421" i="3"/>
  <c r="Y419" i="3"/>
  <c r="E421" i="3" l="1"/>
  <c r="H421" i="3" s="1"/>
  <c r="K421" i="3" s="1"/>
  <c r="AE421" i="3" s="1"/>
  <c r="G421" i="3"/>
  <c r="F421" i="3" l="1"/>
  <c r="V421" i="3"/>
  <c r="A422" i="3"/>
  <c r="B422" i="3" s="1"/>
  <c r="I421" i="3"/>
  <c r="J421" i="3"/>
  <c r="AD421" i="3" s="1"/>
  <c r="M421" i="3"/>
  <c r="N421" i="3" s="1"/>
  <c r="W421" i="3" l="1"/>
  <c r="L421" i="3"/>
  <c r="Z422" i="3"/>
  <c r="P422" i="3"/>
  <c r="Q422" i="3" s="1"/>
  <c r="R422" i="3" s="1"/>
  <c r="S422" i="3" s="1"/>
  <c r="AC422" i="3"/>
  <c r="AA422" i="3"/>
  <c r="U421" i="3" l="1"/>
  <c r="Y420" i="3"/>
  <c r="T422" i="3"/>
  <c r="D422" i="3" l="1"/>
  <c r="G422" i="3" s="1"/>
  <c r="AG422" i="3"/>
  <c r="E422" i="3"/>
  <c r="H422" i="3" s="1"/>
  <c r="K422" i="3" s="1"/>
  <c r="AE422" i="3" s="1"/>
  <c r="AH422" i="3"/>
  <c r="F422" i="3" l="1"/>
  <c r="V422" i="3"/>
  <c r="A423" i="3"/>
  <c r="B423" i="3" s="1"/>
  <c r="I422" i="3"/>
  <c r="J422" i="3"/>
  <c r="AD422" i="3" s="1"/>
  <c r="M422" i="3"/>
  <c r="N422" i="3" s="1"/>
  <c r="L422" i="3" l="1"/>
  <c r="W422" i="3"/>
  <c r="P423" i="3"/>
  <c r="Q423" i="3" s="1"/>
  <c r="R423" i="3" s="1"/>
  <c r="S423" i="3" s="1"/>
  <c r="Z423" i="3"/>
  <c r="AC423" i="3"/>
  <c r="AA423" i="3"/>
  <c r="U422" i="3" l="1"/>
  <c r="Y421" i="3"/>
  <c r="T423" i="3"/>
  <c r="D423" i="3" l="1"/>
  <c r="G423" i="3" s="1"/>
  <c r="AH423" i="3"/>
  <c r="E423" i="3"/>
  <c r="H423" i="3" s="1"/>
  <c r="K423" i="3" s="1"/>
  <c r="AE423" i="3" s="1"/>
  <c r="AG423" i="3"/>
  <c r="F423" i="3" l="1"/>
  <c r="V423" i="3"/>
  <c r="A424" i="3"/>
  <c r="B424" i="3" s="1"/>
  <c r="I423" i="3"/>
  <c r="J423" i="3"/>
  <c r="AD423" i="3" s="1"/>
  <c r="M423" i="3"/>
  <c r="N423" i="3" s="1"/>
  <c r="W423" i="3" l="1"/>
  <c r="L423" i="3"/>
  <c r="AA424" i="3"/>
  <c r="P424" i="3"/>
  <c r="Q424" i="3" s="1"/>
  <c r="R424" i="3" s="1"/>
  <c r="S424" i="3" s="1"/>
  <c r="Z424" i="3"/>
  <c r="AC424" i="3"/>
  <c r="T424" i="3" l="1"/>
  <c r="U423" i="3"/>
  <c r="Y422" i="3"/>
  <c r="D424" i="3" l="1"/>
  <c r="G424" i="3" s="1"/>
  <c r="E424" i="3"/>
  <c r="H424" i="3" s="1"/>
  <c r="K424" i="3" s="1"/>
  <c r="AE424" i="3" s="1"/>
  <c r="AG424" i="3"/>
  <c r="AH424" i="3"/>
  <c r="F424" i="3" l="1"/>
  <c r="V424" i="3"/>
  <c r="A425" i="3"/>
  <c r="B425" i="3" s="1"/>
  <c r="I424" i="3"/>
  <c r="J424" i="3"/>
  <c r="AD424" i="3" s="1"/>
  <c r="M424" i="3"/>
  <c r="N424" i="3" s="1"/>
  <c r="W424" i="3" l="1"/>
  <c r="L424" i="3"/>
  <c r="Z425" i="3"/>
  <c r="AA425" i="3"/>
  <c r="P425" i="3"/>
  <c r="Q425" i="3" s="1"/>
  <c r="R425" i="3" s="1"/>
  <c r="S425" i="3" s="1"/>
  <c r="AC425" i="3"/>
  <c r="AD425" i="3"/>
  <c r="U424" i="3" l="1"/>
  <c r="Y423" i="3"/>
  <c r="T425" i="3"/>
  <c r="E425" i="3" l="1"/>
  <c r="H425" i="3" s="1"/>
  <c r="K425" i="3" s="1"/>
  <c r="AE425" i="3" s="1"/>
  <c r="D425" i="3"/>
  <c r="G425" i="3" s="1"/>
  <c r="AH425" i="3"/>
  <c r="AG425" i="3"/>
  <c r="F425" i="3" l="1"/>
  <c r="I425" i="3"/>
  <c r="J425" i="3"/>
  <c r="M425" i="3"/>
  <c r="N425" i="3" s="1"/>
  <c r="V425" i="3"/>
  <c r="A426" i="3"/>
  <c r="B426" i="3" s="1"/>
  <c r="L425" i="3" l="1"/>
  <c r="W425" i="3"/>
  <c r="P426" i="3"/>
  <c r="Q426" i="3" s="1"/>
  <c r="R426" i="3" s="1"/>
  <c r="S426" i="3" s="1"/>
  <c r="AA426" i="3"/>
  <c r="AD426" i="3"/>
  <c r="Z426" i="3"/>
  <c r="AC426" i="3"/>
  <c r="U425" i="3" l="1"/>
  <c r="Y424" i="3"/>
  <c r="T426" i="3"/>
  <c r="AH426" i="3" s="1"/>
  <c r="E426" i="3" l="1"/>
  <c r="H426" i="3" s="1"/>
  <c r="D426" i="3"/>
  <c r="AG426" i="3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W426" i="3" l="1"/>
  <c r="L426" i="3"/>
  <c r="P427" i="3"/>
  <c r="Q427" i="3" s="1"/>
  <c r="R427" i="3" s="1"/>
  <c r="S427" i="3" s="1"/>
  <c r="AC427" i="3"/>
  <c r="Z427" i="3"/>
  <c r="AA427" i="3"/>
  <c r="U426" i="3" l="1"/>
  <c r="Y425" i="3"/>
  <c r="T427" i="3"/>
  <c r="AG427" i="3" s="1"/>
  <c r="D427" i="3" l="1"/>
  <c r="G427" i="3" s="1"/>
  <c r="E427" i="3"/>
  <c r="H427" i="3" s="1"/>
  <c r="K427" i="3" s="1"/>
  <c r="AE427" i="3" s="1"/>
  <c r="AH427" i="3"/>
  <c r="F427" i="3" l="1"/>
  <c r="I427" i="3"/>
  <c r="J427" i="3"/>
  <c r="AD427" i="3" s="1"/>
  <c r="M427" i="3"/>
  <c r="N427" i="3" s="1"/>
  <c r="V427" i="3"/>
  <c r="A428" i="3"/>
  <c r="B428" i="3" s="1"/>
  <c r="W427" i="3" l="1"/>
  <c r="L427" i="3"/>
  <c r="P428" i="3"/>
  <c r="Q428" i="3" s="1"/>
  <c r="R428" i="3" s="1"/>
  <c r="S428" i="3" s="1"/>
  <c r="AC428" i="3"/>
  <c r="Z428" i="3"/>
  <c r="AA428" i="3"/>
  <c r="AD428" i="3"/>
  <c r="U427" i="3" l="1"/>
  <c r="Y426" i="3"/>
  <c r="T428" i="3"/>
  <c r="AG428" i="3" s="1"/>
  <c r="E428" i="3" l="1"/>
  <c r="H428" i="3" s="1"/>
  <c r="AH428" i="3"/>
  <c r="D428" i="3"/>
  <c r="K428" i="3" l="1"/>
  <c r="AE428" i="3" s="1"/>
  <c r="F428" i="3"/>
  <c r="G428" i="3"/>
  <c r="I428" i="3" l="1"/>
  <c r="J428" i="3"/>
  <c r="M428" i="3"/>
  <c r="N428" i="3" s="1"/>
  <c r="V428" i="3"/>
  <c r="A429" i="3"/>
  <c r="B429" i="3" s="1"/>
  <c r="W428" i="3" l="1"/>
  <c r="AD429" i="3"/>
  <c r="Z429" i="3"/>
  <c r="AC429" i="3"/>
  <c r="P429" i="3"/>
  <c r="Q429" i="3" s="1"/>
  <c r="R429" i="3" s="1"/>
  <c r="S429" i="3" s="1"/>
  <c r="AA429" i="3"/>
  <c r="L428" i="3"/>
  <c r="U428" i="3" l="1"/>
  <c r="Y427" i="3"/>
  <c r="T429" i="3"/>
  <c r="D429" i="3" l="1"/>
  <c r="G429" i="3" s="1"/>
  <c r="E429" i="3"/>
  <c r="H429" i="3" s="1"/>
  <c r="K429" i="3" s="1"/>
  <c r="AE429" i="3" s="1"/>
  <c r="AG429" i="3"/>
  <c r="AH429" i="3"/>
  <c r="F429" i="3" l="1"/>
  <c r="I429" i="3"/>
  <c r="J429" i="3"/>
  <c r="M429" i="3"/>
  <c r="N429" i="3" s="1"/>
  <c r="V429" i="3"/>
  <c r="A430" i="3"/>
  <c r="B430" i="3" s="1"/>
  <c r="L429" i="3" l="1"/>
  <c r="W429" i="3"/>
  <c r="AA430" i="3"/>
  <c r="Z430" i="3"/>
  <c r="P430" i="3"/>
  <c r="Q430" i="3" s="1"/>
  <c r="R430" i="3" s="1"/>
  <c r="S430" i="3" s="1"/>
  <c r="AC430" i="3"/>
  <c r="AD430" i="3"/>
  <c r="U429" i="3" l="1"/>
  <c r="Y428" i="3"/>
  <c r="T430" i="3"/>
  <c r="D430" i="3" l="1"/>
  <c r="G430" i="3" s="1"/>
  <c r="AH430" i="3"/>
  <c r="E430" i="3"/>
  <c r="H430" i="3" s="1"/>
  <c r="AG430" i="3"/>
  <c r="F430" i="3" l="1"/>
  <c r="I430" i="3"/>
  <c r="J430" i="3"/>
  <c r="M430" i="3"/>
  <c r="N430" i="3" s="1"/>
  <c r="K430" i="3"/>
  <c r="AE430" i="3" s="1"/>
  <c r="V430" i="3" l="1"/>
  <c r="W430" i="3" s="1"/>
  <c r="A431" i="3"/>
  <c r="B431" i="3" s="1"/>
  <c r="L430" i="3"/>
  <c r="U430" i="3" l="1"/>
  <c r="Y429" i="3"/>
  <c r="AC431" i="3"/>
  <c r="Z431" i="3"/>
  <c r="P431" i="3"/>
  <c r="Q431" i="3" s="1"/>
  <c r="R431" i="3" s="1"/>
  <c r="S431" i="3" s="1"/>
  <c r="AA431" i="3"/>
  <c r="T431" i="3" l="1"/>
  <c r="AH431" i="3" s="1"/>
  <c r="E431" i="3" l="1"/>
  <c r="H431" i="3" s="1"/>
  <c r="AG431" i="3"/>
  <c r="D431" i="3"/>
  <c r="K431" i="3" l="1"/>
  <c r="AE431" i="3" s="1"/>
  <c r="F431" i="3"/>
  <c r="G431" i="3"/>
  <c r="V431" i="3" l="1"/>
  <c r="A432" i="3"/>
  <c r="B432" i="3" s="1"/>
  <c r="I431" i="3"/>
  <c r="J431" i="3"/>
  <c r="AD431" i="3" s="1"/>
  <c r="M431" i="3"/>
  <c r="N431" i="3" s="1"/>
  <c r="W431" i="3" l="1"/>
  <c r="L431" i="3"/>
  <c r="AA432" i="3"/>
  <c r="P432" i="3"/>
  <c r="Q432" i="3" s="1"/>
  <c r="R432" i="3" s="1"/>
  <c r="S432" i="3" s="1"/>
  <c r="AC432" i="3"/>
  <c r="Z432" i="3"/>
  <c r="AD432" i="3"/>
  <c r="T432" i="3" l="1"/>
  <c r="AH432" i="3" s="1"/>
  <c r="U431" i="3"/>
  <c r="Y430" i="3"/>
  <c r="AG432" i="3" l="1"/>
  <c r="E432" i="3"/>
  <c r="H432" i="3" s="1"/>
  <c r="D432" i="3"/>
  <c r="K432" i="3" l="1"/>
  <c r="AE432" i="3" s="1"/>
  <c r="F432" i="3"/>
  <c r="G432" i="3"/>
  <c r="I432" i="3" l="1"/>
  <c r="J432" i="3"/>
  <c r="M432" i="3"/>
  <c r="N432" i="3" s="1"/>
  <c r="V432" i="3"/>
  <c r="A433" i="3"/>
  <c r="B433" i="3" s="1"/>
  <c r="W432" i="3" l="1"/>
  <c r="L432" i="3"/>
  <c r="P433" i="3"/>
  <c r="Q433" i="3" s="1"/>
  <c r="R433" i="3" s="1"/>
  <c r="S433" i="3" s="1"/>
  <c r="AC433" i="3"/>
  <c r="Z433" i="3"/>
  <c r="AA433" i="3"/>
  <c r="AD433" i="3"/>
  <c r="U432" i="3" l="1"/>
  <c r="Y431" i="3"/>
  <c r="T433" i="3"/>
  <c r="E433" i="3" l="1"/>
  <c r="H433" i="3" s="1"/>
  <c r="K433" i="3" s="1"/>
  <c r="AE433" i="3" s="1"/>
  <c r="D433" i="3"/>
  <c r="AG433" i="3"/>
  <c r="AH433" i="3"/>
  <c r="F433" i="3" l="1"/>
  <c r="G433" i="3"/>
  <c r="M433" i="3" s="1"/>
  <c r="N433" i="3" s="1"/>
  <c r="V433" i="3"/>
  <c r="A434" i="3"/>
  <c r="B434" i="3" s="1"/>
  <c r="I433" i="3" l="1"/>
  <c r="W433" i="3" s="1"/>
  <c r="J433" i="3"/>
  <c r="L433" i="3" s="1"/>
  <c r="P434" i="3"/>
  <c r="Q434" i="3" s="1"/>
  <c r="R434" i="3" s="1"/>
  <c r="S434" i="3" s="1"/>
  <c r="Z434" i="3"/>
  <c r="AA434" i="3"/>
  <c r="AC434" i="3"/>
  <c r="U433" i="3" l="1"/>
  <c r="Y432" i="3"/>
  <c r="T434" i="3"/>
  <c r="AH434" i="3" s="1"/>
  <c r="E434" i="3" l="1"/>
  <c r="H434" i="3" s="1"/>
  <c r="K434" i="3" s="1"/>
  <c r="AE434" i="3" s="1"/>
  <c r="AG434" i="3"/>
  <c r="D434" i="3"/>
  <c r="F434" i="3" l="1"/>
  <c r="G434" i="3"/>
  <c r="M434" i="3" s="1"/>
  <c r="N434" i="3" s="1"/>
  <c r="V434" i="3"/>
  <c r="A435" i="3"/>
  <c r="B435" i="3" s="1"/>
  <c r="I434" i="3" l="1"/>
  <c r="W434" i="3" s="1"/>
  <c r="J434" i="3"/>
  <c r="P435" i="3"/>
  <c r="Q435" i="3" s="1"/>
  <c r="R435" i="3" s="1"/>
  <c r="S435" i="3" s="1"/>
  <c r="AA435" i="3"/>
  <c r="AD435" i="3"/>
  <c r="AC435" i="3"/>
  <c r="Z435" i="3"/>
  <c r="L434" i="3" l="1"/>
  <c r="Y433" i="3" s="1"/>
  <c r="AD434" i="3"/>
  <c r="T435" i="3"/>
  <c r="U434" i="3" l="1"/>
  <c r="E435" i="3" s="1"/>
  <c r="H435" i="3" s="1"/>
  <c r="AG435" i="3"/>
  <c r="AH435" i="3"/>
  <c r="D435" i="3" l="1"/>
  <c r="G435" i="3" s="1"/>
  <c r="I435" i="3" s="1"/>
  <c r="K435" i="3"/>
  <c r="AE435" i="3" s="1"/>
  <c r="J435" i="3" l="1"/>
  <c r="L435" i="3" s="1"/>
  <c r="M435" i="3"/>
  <c r="N435" i="3" s="1"/>
  <c r="F435" i="3"/>
  <c r="V435" i="3"/>
  <c r="W435" i="3" s="1"/>
  <c r="A436" i="3"/>
  <c r="B436" i="3" s="1"/>
  <c r="AC436" i="3" l="1"/>
  <c r="Z436" i="3"/>
  <c r="P436" i="3"/>
  <c r="Q436" i="3" s="1"/>
  <c r="R436" i="3" s="1"/>
  <c r="S436" i="3" s="1"/>
  <c r="AA436" i="3"/>
  <c r="AD436" i="3"/>
  <c r="U435" i="3"/>
  <c r="Y434" i="3"/>
  <c r="T436" i="3" l="1"/>
  <c r="E436" i="3" l="1"/>
  <c r="H436" i="3" s="1"/>
  <c r="D436" i="3"/>
  <c r="AH436" i="3"/>
  <c r="AG436" i="3"/>
  <c r="F436" i="3" l="1"/>
  <c r="G436" i="3"/>
  <c r="K436" i="3"/>
  <c r="AE436" i="3" s="1"/>
  <c r="I436" i="3" l="1"/>
  <c r="J436" i="3"/>
  <c r="M436" i="3"/>
  <c r="N436" i="3" s="1"/>
  <c r="V436" i="3"/>
  <c r="A437" i="3"/>
  <c r="B437" i="3" s="1"/>
  <c r="W436" i="3" l="1"/>
  <c r="L436" i="3"/>
  <c r="AC437" i="3"/>
  <c r="AA437" i="3"/>
  <c r="P437" i="3"/>
  <c r="Q437" i="3" s="1"/>
  <c r="R437" i="3" s="1"/>
  <c r="S437" i="3" s="1"/>
  <c r="Z437" i="3"/>
  <c r="U436" i="3" l="1"/>
  <c r="Y435" i="3"/>
  <c r="T437" i="3"/>
  <c r="AH437" i="3" s="1"/>
  <c r="D437" i="3" l="1"/>
  <c r="G437" i="3" s="1"/>
  <c r="E437" i="3"/>
  <c r="H437" i="3" s="1"/>
  <c r="K437" i="3" s="1"/>
  <c r="AE437" i="3" s="1"/>
  <c r="AG437" i="3"/>
  <c r="F437" i="3" l="1"/>
  <c r="I437" i="3"/>
  <c r="J437" i="3"/>
  <c r="AD437" i="3" s="1"/>
  <c r="M437" i="3"/>
  <c r="N437" i="3" s="1"/>
  <c r="V437" i="3"/>
  <c r="A438" i="3"/>
  <c r="B438" i="3" s="1"/>
  <c r="W437" i="3" l="1"/>
  <c r="L437" i="3"/>
  <c r="Z438" i="3"/>
  <c r="P438" i="3"/>
  <c r="Q438" i="3" s="1"/>
  <c r="R438" i="3" s="1"/>
  <c r="S438" i="3" s="1"/>
  <c r="AC438" i="3"/>
  <c r="AD438" i="3"/>
  <c r="AA438" i="3"/>
  <c r="U437" i="3" l="1"/>
  <c r="Y436" i="3"/>
  <c r="T438" i="3"/>
  <c r="E438" i="3" l="1"/>
  <c r="H438" i="3" s="1"/>
  <c r="K438" i="3" s="1"/>
  <c r="AE438" i="3" s="1"/>
  <c r="D438" i="3"/>
  <c r="AH438" i="3"/>
  <c r="AG438" i="3"/>
  <c r="V438" i="3" l="1"/>
  <c r="A439" i="3"/>
  <c r="B439" i="3" s="1"/>
  <c r="F438" i="3"/>
  <c r="G438" i="3"/>
  <c r="I438" i="3" l="1"/>
  <c r="W438" i="3" s="1"/>
  <c r="J438" i="3"/>
  <c r="M438" i="3"/>
  <c r="N438" i="3" s="1"/>
  <c r="Z439" i="3"/>
  <c r="P439" i="3"/>
  <c r="Q439" i="3" s="1"/>
  <c r="R439" i="3" s="1"/>
  <c r="S439" i="3" s="1"/>
  <c r="AD439" i="3"/>
  <c r="AC439" i="3"/>
  <c r="AA439" i="3"/>
  <c r="T439" i="3" l="1"/>
  <c r="L438" i="3"/>
  <c r="AG439" i="3" l="1"/>
  <c r="AH439" i="3"/>
  <c r="U438" i="3"/>
  <c r="E439" i="3" s="1"/>
  <c r="H439" i="3" s="1"/>
  <c r="Y437" i="3"/>
  <c r="D439" i="3" l="1"/>
  <c r="G439" i="3" s="1"/>
  <c r="K439" i="3"/>
  <c r="AE439" i="3" s="1"/>
  <c r="F439" i="3" l="1"/>
  <c r="V439" i="3"/>
  <c r="A440" i="3"/>
  <c r="B440" i="3" s="1"/>
  <c r="I439" i="3"/>
  <c r="J439" i="3"/>
  <c r="M439" i="3"/>
  <c r="N439" i="3" s="1"/>
  <c r="W439" i="3" l="1"/>
  <c r="L439" i="3"/>
  <c r="Z440" i="3"/>
  <c r="AC440" i="3"/>
  <c r="P440" i="3"/>
  <c r="Q440" i="3" s="1"/>
  <c r="R440" i="3" s="1"/>
  <c r="S440" i="3" s="1"/>
  <c r="AA440" i="3"/>
  <c r="AD440" i="3"/>
  <c r="T440" i="3" l="1"/>
  <c r="AH440" i="3" s="1"/>
  <c r="U439" i="3"/>
  <c r="Y438" i="3"/>
  <c r="AG440" i="3" l="1"/>
  <c r="D440" i="3"/>
  <c r="E440" i="3"/>
  <c r="H440" i="3" s="1"/>
  <c r="K440" i="3" l="1"/>
  <c r="AE440" i="3" s="1"/>
  <c r="F440" i="3"/>
  <c r="G440" i="3"/>
  <c r="I440" i="3" l="1"/>
  <c r="J440" i="3"/>
  <c r="M440" i="3"/>
  <c r="N440" i="3" s="1"/>
  <c r="V440" i="3"/>
  <c r="A441" i="3"/>
  <c r="B441" i="3" s="1"/>
  <c r="W440" i="3" l="1"/>
  <c r="L440" i="3"/>
  <c r="P441" i="3"/>
  <c r="Q441" i="3" s="1"/>
  <c r="R441" i="3" s="1"/>
  <c r="S441" i="3" s="1"/>
  <c r="AC441" i="3"/>
  <c r="Z441" i="3"/>
  <c r="AA441" i="3"/>
  <c r="T441" i="3" l="1"/>
  <c r="AH441" i="3" s="1"/>
  <c r="U440" i="3"/>
  <c r="Y439" i="3"/>
  <c r="E441" i="3" l="1"/>
  <c r="H441" i="3" s="1"/>
  <c r="K441" i="3" s="1"/>
  <c r="AE441" i="3" s="1"/>
  <c r="AG441" i="3"/>
  <c r="D441" i="3"/>
  <c r="V441" i="3" l="1"/>
  <c r="A442" i="3"/>
  <c r="B442" i="3" s="1"/>
  <c r="F441" i="3"/>
  <c r="G441" i="3"/>
  <c r="I441" i="3" l="1"/>
  <c r="W441" i="3" s="1"/>
  <c r="J441" i="3"/>
  <c r="AD441" i="3" s="1"/>
  <c r="M441" i="3"/>
  <c r="N441" i="3" s="1"/>
  <c r="AC442" i="3"/>
  <c r="AA442" i="3"/>
  <c r="P442" i="3"/>
  <c r="Q442" i="3" s="1"/>
  <c r="R442" i="3" s="1"/>
  <c r="S442" i="3" s="1"/>
  <c r="Z442" i="3"/>
  <c r="T442" i="3" l="1"/>
  <c r="L441" i="3"/>
  <c r="U441" i="3" l="1"/>
  <c r="D442" i="3" s="1"/>
  <c r="AH442" i="3"/>
  <c r="AG442" i="3"/>
  <c r="Y440" i="3"/>
  <c r="G442" i="3" l="1"/>
  <c r="E442" i="3"/>
  <c r="H442" i="3" s="1"/>
  <c r="I442" i="3" l="1"/>
  <c r="J442" i="3"/>
  <c r="AD442" i="3" s="1"/>
  <c r="M442" i="3"/>
  <c r="N442" i="3" s="1"/>
  <c r="F442" i="3"/>
  <c r="K442" i="3"/>
  <c r="AE442" i="3" s="1"/>
  <c r="V442" i="3" l="1"/>
  <c r="W442" i="3" s="1"/>
  <c r="A443" i="3"/>
  <c r="B443" i="3" s="1"/>
  <c r="L442" i="3"/>
  <c r="U442" i="3" l="1"/>
  <c r="Y441" i="3"/>
  <c r="Z443" i="3"/>
  <c r="P443" i="3"/>
  <c r="Q443" i="3" s="1"/>
  <c r="R443" i="3" s="1"/>
  <c r="S443" i="3" s="1"/>
  <c r="AC443" i="3"/>
  <c r="AA443" i="3"/>
  <c r="T443" i="3" l="1"/>
  <c r="D443" i="3" s="1"/>
  <c r="E443" i="3" l="1"/>
  <c r="H443" i="3" s="1"/>
  <c r="K443" i="3" s="1"/>
  <c r="AE443" i="3" s="1"/>
  <c r="G443" i="3"/>
  <c r="AG443" i="3"/>
  <c r="AH443" i="3"/>
  <c r="F443" i="3" l="1"/>
  <c r="V443" i="3"/>
  <c r="A444" i="3"/>
  <c r="B444" i="3" s="1"/>
  <c r="I443" i="3"/>
  <c r="J443" i="3"/>
  <c r="AD443" i="3" s="1"/>
  <c r="M443" i="3"/>
  <c r="N443" i="3" s="1"/>
  <c r="W443" i="3" l="1"/>
  <c r="L443" i="3"/>
  <c r="Z444" i="3"/>
  <c r="P444" i="3"/>
  <c r="Q444" i="3" s="1"/>
  <c r="R444" i="3" s="1"/>
  <c r="S444" i="3" s="1"/>
  <c r="AA444" i="3"/>
  <c r="AC444" i="3"/>
  <c r="U443" i="3" l="1"/>
  <c r="Y442" i="3"/>
  <c r="T444" i="3"/>
  <c r="AG444" i="3" s="1"/>
  <c r="AH444" i="3" l="1"/>
  <c r="D444" i="3"/>
  <c r="E444" i="3"/>
  <c r="H444" i="3" s="1"/>
  <c r="F444" i="3" l="1"/>
  <c r="G444" i="3"/>
  <c r="K444" i="3"/>
  <c r="AE444" i="3" s="1"/>
  <c r="I444" i="3" l="1"/>
  <c r="J444" i="3"/>
  <c r="AD444" i="3" s="1"/>
  <c r="M444" i="3"/>
  <c r="N444" i="3" s="1"/>
  <c r="V444" i="3"/>
  <c r="A445" i="3"/>
  <c r="B445" i="3" s="1"/>
  <c r="W444" i="3" l="1"/>
  <c r="L444" i="3"/>
  <c r="AA445" i="3"/>
  <c r="P445" i="3"/>
  <c r="Q445" i="3" s="1"/>
  <c r="R445" i="3" s="1"/>
  <c r="S445" i="3" s="1"/>
  <c r="Z445" i="3"/>
  <c r="AC445" i="3"/>
  <c r="T445" i="3" l="1"/>
  <c r="U444" i="3"/>
  <c r="Y443" i="3"/>
  <c r="D445" i="3" l="1"/>
  <c r="G445" i="3" s="1"/>
  <c r="AG445" i="3"/>
  <c r="E445" i="3"/>
  <c r="H445" i="3" s="1"/>
  <c r="AH445" i="3"/>
  <c r="K445" i="3" l="1"/>
  <c r="AE445" i="3" s="1"/>
  <c r="I445" i="3"/>
  <c r="J445" i="3"/>
  <c r="AD445" i="3" s="1"/>
  <c r="M445" i="3"/>
  <c r="N445" i="3" s="1"/>
  <c r="F445" i="3"/>
  <c r="L445" i="3" l="1"/>
  <c r="V445" i="3"/>
  <c r="W445" i="3" s="1"/>
  <c r="A446" i="3"/>
  <c r="B446" i="3" s="1"/>
  <c r="AC446" i="3" l="1"/>
  <c r="P446" i="3"/>
  <c r="Q446" i="3" s="1"/>
  <c r="R446" i="3" s="1"/>
  <c r="S446" i="3" s="1"/>
  <c r="Z446" i="3"/>
  <c r="AA446" i="3"/>
  <c r="U445" i="3"/>
  <c r="Y444" i="3"/>
  <c r="T446" i="3" l="1"/>
  <c r="D446" i="3" s="1"/>
  <c r="AG446" i="3" l="1"/>
  <c r="G446" i="3"/>
  <c r="E446" i="3"/>
  <c r="H446" i="3" s="1"/>
  <c r="AH446" i="3"/>
  <c r="K446" i="3" l="1"/>
  <c r="AE446" i="3" s="1"/>
  <c r="F446" i="3"/>
  <c r="I446" i="3"/>
  <c r="J446" i="3"/>
  <c r="AD446" i="3" s="1"/>
  <c r="M446" i="3"/>
  <c r="N446" i="3" s="1"/>
  <c r="L446" i="3" l="1"/>
  <c r="V446" i="3"/>
  <c r="W446" i="3" s="1"/>
  <c r="A447" i="3"/>
  <c r="B447" i="3" s="1"/>
  <c r="Z447" i="3" l="1"/>
  <c r="P447" i="3"/>
  <c r="Q447" i="3" s="1"/>
  <c r="R447" i="3" s="1"/>
  <c r="S447" i="3" s="1"/>
  <c r="AC447" i="3"/>
  <c r="AA447" i="3"/>
  <c r="U446" i="3"/>
  <c r="Y445" i="3"/>
  <c r="T447" i="3" l="1"/>
  <c r="AG447" i="3" s="1"/>
  <c r="D447" i="3" l="1"/>
  <c r="G447" i="3" s="1"/>
  <c r="AH447" i="3"/>
  <c r="E447" i="3"/>
  <c r="H447" i="3" s="1"/>
  <c r="K447" i="3" s="1"/>
  <c r="AE447" i="3" s="1"/>
  <c r="F447" i="3" l="1"/>
  <c r="I447" i="3"/>
  <c r="J447" i="3"/>
  <c r="AD447" i="3" s="1"/>
  <c r="M447" i="3"/>
  <c r="N447" i="3" s="1"/>
  <c r="V447" i="3"/>
  <c r="A448" i="3"/>
  <c r="B448" i="3" s="1"/>
  <c r="W447" i="3" l="1"/>
  <c r="L447" i="3"/>
  <c r="Z448" i="3"/>
  <c r="AA448" i="3"/>
  <c r="P448" i="3"/>
  <c r="Q448" i="3" s="1"/>
  <c r="R448" i="3" s="1"/>
  <c r="S448" i="3" s="1"/>
  <c r="AC448" i="3"/>
  <c r="T448" i="3" l="1"/>
  <c r="AG448" i="3" s="1"/>
  <c r="U447" i="3"/>
  <c r="Y446" i="3"/>
  <c r="D448" i="3" l="1"/>
  <c r="G448" i="3" s="1"/>
  <c r="E448" i="3"/>
  <c r="H448" i="3" s="1"/>
  <c r="AH448" i="3"/>
  <c r="F448" i="3" l="1"/>
  <c r="I448" i="3"/>
  <c r="J448" i="3"/>
  <c r="AD448" i="3" s="1"/>
  <c r="M448" i="3"/>
  <c r="N448" i="3" s="1"/>
  <c r="K448" i="3"/>
  <c r="AE448" i="3" s="1"/>
  <c r="V448" i="3" l="1"/>
  <c r="W448" i="3" s="1"/>
  <c r="A449" i="3"/>
  <c r="B449" i="3" s="1"/>
  <c r="L448" i="3"/>
  <c r="U448" i="3" l="1"/>
  <c r="Y447" i="3"/>
  <c r="P449" i="3"/>
  <c r="Q449" i="3" s="1"/>
  <c r="R449" i="3" s="1"/>
  <c r="S449" i="3" s="1"/>
  <c r="AA449" i="3"/>
  <c r="Z449" i="3"/>
  <c r="AC449" i="3"/>
  <c r="T449" i="3" l="1"/>
  <c r="D449" i="3" s="1"/>
  <c r="G449" i="3" l="1"/>
  <c r="AG449" i="3"/>
  <c r="AH449" i="3"/>
  <c r="E449" i="3"/>
  <c r="H449" i="3" s="1"/>
  <c r="K449" i="3" l="1"/>
  <c r="AE449" i="3" s="1"/>
  <c r="F449" i="3"/>
  <c r="I449" i="3"/>
  <c r="J449" i="3"/>
  <c r="AD449" i="3" s="1"/>
  <c r="M449" i="3"/>
  <c r="N449" i="3" s="1"/>
  <c r="L449" i="3" l="1"/>
  <c r="V449" i="3"/>
  <c r="W449" i="3" s="1"/>
  <c r="A450" i="3"/>
  <c r="B450" i="3" s="1"/>
  <c r="P450" i="3" l="1"/>
  <c r="Q450" i="3" s="1"/>
  <c r="R450" i="3" s="1"/>
  <c r="S450" i="3" s="1"/>
  <c r="Z450" i="3"/>
  <c r="AC450" i="3"/>
  <c r="AA450" i="3"/>
  <c r="U449" i="3"/>
  <c r="Y448" i="3"/>
  <c r="T450" i="3" l="1"/>
  <c r="D450" i="3" s="1"/>
  <c r="AH450" i="3" l="1"/>
  <c r="G450" i="3"/>
  <c r="E450" i="3"/>
  <c r="H450" i="3" s="1"/>
  <c r="AG450" i="3"/>
  <c r="F450" i="3" l="1"/>
  <c r="I450" i="3"/>
  <c r="J450" i="3"/>
  <c r="AD450" i="3" s="1"/>
  <c r="M450" i="3"/>
  <c r="N450" i="3" s="1"/>
  <c r="K450" i="3"/>
  <c r="AE450" i="3" s="1"/>
  <c r="V450" i="3" l="1"/>
  <c r="W450" i="3" s="1"/>
  <c r="A451" i="3"/>
  <c r="B451" i="3" s="1"/>
  <c r="L450" i="3"/>
  <c r="U450" i="3" l="1"/>
  <c r="Y449" i="3"/>
  <c r="P451" i="3"/>
  <c r="Q451" i="3" s="1"/>
  <c r="R451" i="3" s="1"/>
  <c r="S451" i="3" s="1"/>
  <c r="Z451" i="3"/>
  <c r="AA451" i="3"/>
  <c r="AC451" i="3"/>
  <c r="T451" i="3" l="1"/>
  <c r="AG451" i="3" s="1"/>
  <c r="E451" i="3" l="1"/>
  <c r="H451" i="3" s="1"/>
  <c r="K451" i="3" s="1"/>
  <c r="AE451" i="3" s="1"/>
  <c r="AH451" i="3"/>
  <c r="D451" i="3"/>
  <c r="V451" i="3" l="1"/>
  <c r="A452" i="3"/>
  <c r="B452" i="3" s="1"/>
  <c r="F451" i="3"/>
  <c r="G451" i="3"/>
  <c r="I451" i="3" l="1"/>
  <c r="W451" i="3" s="1"/>
  <c r="J451" i="3"/>
  <c r="AD451" i="3" s="1"/>
  <c r="M451" i="3"/>
  <c r="N451" i="3" s="1"/>
  <c r="AA452" i="3"/>
  <c r="P452" i="3"/>
  <c r="Q452" i="3" s="1"/>
  <c r="R452" i="3" s="1"/>
  <c r="S452" i="3" s="1"/>
  <c r="AC452" i="3"/>
  <c r="Z452" i="3"/>
  <c r="AD452" i="3"/>
  <c r="T452" i="3" l="1"/>
  <c r="L451" i="3"/>
  <c r="U451" i="3" l="1"/>
  <c r="D452" i="3" s="1"/>
  <c r="AH452" i="3"/>
  <c r="AG452" i="3"/>
  <c r="Y450" i="3"/>
  <c r="E452" i="3" l="1"/>
  <c r="H452" i="3" s="1"/>
  <c r="K452" i="3" s="1"/>
  <c r="AE452" i="3" s="1"/>
  <c r="G452" i="3"/>
  <c r="F452" i="3" l="1"/>
  <c r="I452" i="3"/>
  <c r="J452" i="3"/>
  <c r="M452" i="3"/>
  <c r="N452" i="3" s="1"/>
  <c r="V452" i="3"/>
  <c r="A453" i="3"/>
  <c r="B453" i="3" s="1"/>
  <c r="W452" i="3" l="1"/>
  <c r="L452" i="3"/>
  <c r="AA453" i="3"/>
  <c r="P453" i="3"/>
  <c r="Q453" i="3" s="1"/>
  <c r="R453" i="3" s="1"/>
  <c r="S453" i="3" s="1"/>
  <c r="AC453" i="3"/>
  <c r="AD453" i="3"/>
  <c r="Z453" i="3"/>
  <c r="U452" i="3" l="1"/>
  <c r="Y451" i="3"/>
  <c r="T453" i="3"/>
  <c r="AH453" i="3" s="1"/>
  <c r="AG453" i="3" l="1"/>
  <c r="E453" i="3"/>
  <c r="H453" i="3" s="1"/>
  <c r="D453" i="3"/>
  <c r="K453" i="3" l="1"/>
  <c r="AE453" i="3" s="1"/>
  <c r="F453" i="3"/>
  <c r="G453" i="3"/>
  <c r="I453" i="3" l="1"/>
  <c r="J453" i="3"/>
  <c r="M453" i="3"/>
  <c r="N453" i="3" s="1"/>
  <c r="V453" i="3"/>
  <c r="A454" i="3"/>
  <c r="B454" i="3" s="1"/>
  <c r="W453" i="3" l="1"/>
  <c r="AA454" i="3"/>
  <c r="AC454" i="3"/>
  <c r="Z454" i="3"/>
  <c r="P454" i="3"/>
  <c r="Q454" i="3" s="1"/>
  <c r="R454" i="3" s="1"/>
  <c r="S454" i="3" s="1"/>
  <c r="L453" i="3"/>
  <c r="U453" i="3" l="1"/>
  <c r="Y452" i="3"/>
  <c r="T454" i="3"/>
  <c r="E454" i="3" l="1"/>
  <c r="H454" i="3" s="1"/>
  <c r="K454" i="3" s="1"/>
  <c r="AE454" i="3" s="1"/>
  <c r="AH454" i="3"/>
  <c r="AG454" i="3"/>
  <c r="D454" i="3"/>
  <c r="F454" i="3" l="1"/>
  <c r="G454" i="3"/>
  <c r="V454" i="3"/>
  <c r="A455" i="3"/>
  <c r="B455" i="3" s="1"/>
  <c r="AC455" i="3" l="1"/>
  <c r="AD455" i="3"/>
  <c r="AA455" i="3"/>
  <c r="Z455" i="3"/>
  <c r="P455" i="3"/>
  <c r="Q455" i="3" s="1"/>
  <c r="R455" i="3" s="1"/>
  <c r="S455" i="3" s="1"/>
  <c r="I454" i="3"/>
  <c r="W454" i="3" s="1"/>
  <c r="J454" i="3"/>
  <c r="AD454" i="3" s="1"/>
  <c r="M454" i="3"/>
  <c r="N454" i="3" s="1"/>
  <c r="L454" i="3" l="1"/>
  <c r="T455" i="3"/>
  <c r="AH455" i="3" l="1"/>
  <c r="U454" i="3"/>
  <c r="D455" i="3" s="1"/>
  <c r="AG455" i="3"/>
  <c r="Y453" i="3"/>
  <c r="E455" i="3" l="1"/>
  <c r="H455" i="3" s="1"/>
  <c r="K455" i="3" s="1"/>
  <c r="AE455" i="3" s="1"/>
  <c r="G455" i="3"/>
  <c r="F455" i="3" l="1"/>
  <c r="I455" i="3"/>
  <c r="J455" i="3"/>
  <c r="M455" i="3"/>
  <c r="N455" i="3" s="1"/>
  <c r="V455" i="3"/>
  <c r="A456" i="3"/>
  <c r="B456" i="3" s="1"/>
  <c r="W455" i="3" l="1"/>
  <c r="L455" i="3"/>
  <c r="AC456" i="3"/>
  <c r="P456" i="3"/>
  <c r="Q456" i="3" s="1"/>
  <c r="R456" i="3" s="1"/>
  <c r="S456" i="3" s="1"/>
  <c r="AD456" i="3"/>
  <c r="Z456" i="3"/>
  <c r="AA456" i="3"/>
  <c r="U455" i="3" l="1"/>
  <c r="Y454" i="3"/>
  <c r="T456" i="3"/>
  <c r="AG456" i="3" s="1"/>
  <c r="D456" i="3" l="1"/>
  <c r="G456" i="3" s="1"/>
  <c r="AH456" i="3"/>
  <c r="E456" i="3"/>
  <c r="H456" i="3" s="1"/>
  <c r="I456" i="3" l="1"/>
  <c r="J456" i="3"/>
  <c r="M456" i="3"/>
  <c r="N456" i="3" s="1"/>
  <c r="K456" i="3"/>
  <c r="AE456" i="3" s="1"/>
  <c r="F456" i="3"/>
  <c r="V456" i="3" l="1"/>
  <c r="W456" i="3" s="1"/>
  <c r="A457" i="3"/>
  <c r="B457" i="3" s="1"/>
  <c r="L456" i="3"/>
  <c r="Z457" i="3" l="1"/>
  <c r="AC457" i="3"/>
  <c r="P457" i="3"/>
  <c r="Q457" i="3" s="1"/>
  <c r="R457" i="3" s="1"/>
  <c r="S457" i="3" s="1"/>
  <c r="AA457" i="3"/>
  <c r="U456" i="3"/>
  <c r="Y455" i="3"/>
  <c r="T457" i="3" l="1"/>
  <c r="D457" i="3" l="1"/>
  <c r="AH457" i="3"/>
  <c r="E457" i="3"/>
  <c r="H457" i="3" s="1"/>
  <c r="AG457" i="3"/>
  <c r="F457" i="3" l="1"/>
  <c r="G457" i="3"/>
  <c r="K457" i="3"/>
  <c r="AE457" i="3" s="1"/>
  <c r="I457" i="3" l="1"/>
  <c r="J457" i="3"/>
  <c r="AD457" i="3" s="1"/>
  <c r="M457" i="3"/>
  <c r="N457" i="3" s="1"/>
  <c r="V457" i="3"/>
  <c r="A458" i="3"/>
  <c r="B458" i="3" s="1"/>
  <c r="L457" i="3" l="1"/>
  <c r="W457" i="3"/>
  <c r="P458" i="3"/>
  <c r="Q458" i="3" s="1"/>
  <c r="R458" i="3" s="1"/>
  <c r="S458" i="3" s="1"/>
  <c r="AC458" i="3"/>
  <c r="Z458" i="3"/>
  <c r="AD458" i="3"/>
  <c r="AA458" i="3"/>
  <c r="U457" i="3" l="1"/>
  <c r="Y456" i="3"/>
  <c r="T458" i="3"/>
  <c r="AH458" i="3" s="1"/>
  <c r="AG458" i="3" l="1"/>
  <c r="E458" i="3"/>
  <c r="H458" i="3" s="1"/>
  <c r="D458" i="3"/>
  <c r="K458" i="3" l="1"/>
  <c r="AE458" i="3" s="1"/>
  <c r="F458" i="3"/>
  <c r="G458" i="3"/>
  <c r="V458" i="3" l="1"/>
  <c r="A459" i="3"/>
  <c r="B459" i="3" s="1"/>
  <c r="I458" i="3"/>
  <c r="J458" i="3"/>
  <c r="M458" i="3"/>
  <c r="N458" i="3" s="1"/>
  <c r="W458" i="3" l="1"/>
  <c r="L458" i="3"/>
  <c r="Z459" i="3"/>
  <c r="P459" i="3"/>
  <c r="Q459" i="3" s="1"/>
  <c r="R459" i="3" s="1"/>
  <c r="S459" i="3" s="1"/>
  <c r="AA459" i="3"/>
  <c r="AD459" i="3"/>
  <c r="AC459" i="3"/>
  <c r="T459" i="3" l="1"/>
  <c r="AH459" i="3" s="1"/>
  <c r="U458" i="3"/>
  <c r="Y457" i="3"/>
  <c r="AG459" i="3" l="1"/>
  <c r="D459" i="3"/>
  <c r="E459" i="3"/>
  <c r="H459" i="3" s="1"/>
  <c r="K459" i="3" l="1"/>
  <c r="AE459" i="3" s="1"/>
  <c r="F459" i="3"/>
  <c r="G459" i="3"/>
  <c r="I459" i="3" l="1"/>
  <c r="J459" i="3"/>
  <c r="M459" i="3"/>
  <c r="N459" i="3" s="1"/>
  <c r="V459" i="3"/>
  <c r="A460" i="3"/>
  <c r="B460" i="3" s="1"/>
  <c r="W459" i="3" l="1"/>
  <c r="L459" i="3"/>
  <c r="P460" i="3"/>
  <c r="Q460" i="3" s="1"/>
  <c r="R460" i="3" s="1"/>
  <c r="S460" i="3" s="1"/>
  <c r="AD460" i="3"/>
  <c r="Z460" i="3"/>
  <c r="AA460" i="3"/>
  <c r="AC460" i="3"/>
  <c r="U459" i="3" l="1"/>
  <c r="Y458" i="3"/>
  <c r="T460" i="3"/>
  <c r="D460" i="3" l="1"/>
  <c r="G460" i="3" s="1"/>
  <c r="AH460" i="3"/>
  <c r="E460" i="3"/>
  <c r="H460" i="3" s="1"/>
  <c r="AG460" i="3"/>
  <c r="F460" i="3" l="1"/>
  <c r="I460" i="3"/>
  <c r="J460" i="3"/>
  <c r="M460" i="3"/>
  <c r="N460" i="3" s="1"/>
  <c r="K460" i="3"/>
  <c r="AE460" i="3" s="1"/>
  <c r="V460" i="3" l="1"/>
  <c r="W460" i="3" s="1"/>
  <c r="A461" i="3"/>
  <c r="B461" i="3" s="1"/>
  <c r="L460" i="3"/>
  <c r="U460" i="3" l="1"/>
  <c r="Y459" i="3"/>
  <c r="AC461" i="3"/>
  <c r="Z461" i="3"/>
  <c r="P461" i="3"/>
  <c r="Q461" i="3" s="1"/>
  <c r="R461" i="3" s="1"/>
  <c r="S461" i="3" s="1"/>
  <c r="AA461" i="3"/>
  <c r="T461" i="3" l="1"/>
  <c r="D461" i="3" s="1"/>
  <c r="AG461" i="3" l="1"/>
  <c r="G461" i="3"/>
  <c r="AH461" i="3"/>
  <c r="E461" i="3"/>
  <c r="H461" i="3" s="1"/>
  <c r="F461" i="3" l="1"/>
  <c r="I461" i="3"/>
  <c r="J461" i="3"/>
  <c r="AD461" i="3" s="1"/>
  <c r="M461" i="3"/>
  <c r="N461" i="3" s="1"/>
  <c r="K461" i="3"/>
  <c r="AE461" i="3" s="1"/>
  <c r="V461" i="3" l="1"/>
  <c r="W461" i="3" s="1"/>
  <c r="A462" i="3"/>
  <c r="B462" i="3" s="1"/>
  <c r="L461" i="3"/>
  <c r="U461" i="3" l="1"/>
  <c r="Y460" i="3"/>
  <c r="Z462" i="3"/>
  <c r="P462" i="3"/>
  <c r="Q462" i="3" s="1"/>
  <c r="R462" i="3" s="1"/>
  <c r="S462" i="3" s="1"/>
  <c r="AD462" i="3"/>
  <c r="AA462" i="3"/>
  <c r="AC462" i="3"/>
  <c r="T462" i="3" l="1"/>
  <c r="E462" i="3" s="1"/>
  <c r="H462" i="3" s="1"/>
  <c r="AG462" i="3" l="1"/>
  <c r="AH462" i="3"/>
  <c r="D462" i="3"/>
  <c r="G462" i="3" s="1"/>
  <c r="K462" i="3"/>
  <c r="AE462" i="3" s="1"/>
  <c r="F462" i="3" l="1"/>
  <c r="V462" i="3"/>
  <c r="A463" i="3"/>
  <c r="B463" i="3" s="1"/>
  <c r="I462" i="3"/>
  <c r="J462" i="3"/>
  <c r="M462" i="3"/>
  <c r="N462" i="3" s="1"/>
  <c r="W462" i="3" l="1"/>
  <c r="L462" i="3"/>
  <c r="P463" i="3"/>
  <c r="Q463" i="3" s="1"/>
  <c r="R463" i="3" s="1"/>
  <c r="S463" i="3" s="1"/>
  <c r="AC463" i="3"/>
  <c r="Z463" i="3"/>
  <c r="AA463" i="3"/>
  <c r="AD463" i="3"/>
  <c r="U462" i="3" l="1"/>
  <c r="Y461" i="3"/>
  <c r="T463" i="3"/>
  <c r="AH463" i="3" s="1"/>
  <c r="AG463" i="3" l="1"/>
  <c r="D463" i="3"/>
  <c r="E463" i="3"/>
  <c r="H463" i="3" s="1"/>
  <c r="F463" i="3" l="1"/>
  <c r="G463" i="3"/>
  <c r="K463" i="3"/>
  <c r="AE463" i="3" s="1"/>
  <c r="V463" i="3" l="1"/>
  <c r="A464" i="3"/>
  <c r="B464" i="3" s="1"/>
  <c r="I463" i="3"/>
  <c r="J463" i="3"/>
  <c r="M463" i="3"/>
  <c r="N463" i="3" s="1"/>
  <c r="W463" i="3" l="1"/>
  <c r="L463" i="3"/>
  <c r="Z464" i="3"/>
  <c r="AC464" i="3"/>
  <c r="P464" i="3"/>
  <c r="Q464" i="3" s="1"/>
  <c r="R464" i="3" s="1"/>
  <c r="S464" i="3" s="1"/>
  <c r="AA464" i="3"/>
  <c r="T464" i="3" l="1"/>
  <c r="AG464" i="3" s="1"/>
  <c r="U463" i="3"/>
  <c r="Y462" i="3"/>
  <c r="AH464" i="3" l="1"/>
  <c r="D464" i="3"/>
  <c r="E464" i="3"/>
  <c r="H464" i="3" s="1"/>
  <c r="K464" i="3" l="1"/>
  <c r="AE464" i="3" s="1"/>
  <c r="F464" i="3"/>
  <c r="G464" i="3"/>
  <c r="I464" i="3" l="1"/>
  <c r="J464" i="3"/>
  <c r="AD464" i="3" s="1"/>
  <c r="M464" i="3"/>
  <c r="N464" i="3" s="1"/>
  <c r="V464" i="3"/>
  <c r="A465" i="3"/>
  <c r="B465" i="3" s="1"/>
  <c r="W464" i="3" l="1"/>
  <c r="L464" i="3"/>
  <c r="Z465" i="3"/>
  <c r="P465" i="3"/>
  <c r="Q465" i="3" s="1"/>
  <c r="R465" i="3" s="1"/>
  <c r="S465" i="3" s="1"/>
  <c r="AC465" i="3"/>
  <c r="AA465" i="3"/>
  <c r="AD465" i="3"/>
  <c r="T465" i="3" l="1"/>
  <c r="AH465" i="3" s="1"/>
  <c r="U464" i="3"/>
  <c r="Y463" i="3"/>
  <c r="D465" i="3" l="1"/>
  <c r="G465" i="3" s="1"/>
  <c r="E465" i="3"/>
  <c r="H465" i="3" s="1"/>
  <c r="AG465" i="3"/>
  <c r="F465" i="3" l="1"/>
  <c r="I465" i="3"/>
  <c r="J465" i="3"/>
  <c r="M465" i="3"/>
  <c r="N465" i="3" s="1"/>
  <c r="K465" i="3"/>
  <c r="AE465" i="3" s="1"/>
  <c r="V465" i="3" l="1"/>
  <c r="W465" i="3" s="1"/>
  <c r="A466" i="3"/>
  <c r="B466" i="3" s="1"/>
  <c r="L465" i="3"/>
  <c r="U465" i="3" l="1"/>
  <c r="Y464" i="3"/>
  <c r="AA466" i="3"/>
  <c r="AD466" i="3"/>
  <c r="AC466" i="3"/>
  <c r="Z466" i="3"/>
  <c r="P466" i="3"/>
  <c r="Q466" i="3" s="1"/>
  <c r="R466" i="3" s="1"/>
  <c r="S466" i="3" s="1"/>
  <c r="T466" i="3" l="1"/>
  <c r="AH466" i="3" s="1"/>
  <c r="AG466" i="3" l="1"/>
  <c r="E466" i="3"/>
  <c r="H466" i="3" s="1"/>
  <c r="K466" i="3" s="1"/>
  <c r="AE466" i="3" s="1"/>
  <c r="D466" i="3"/>
  <c r="G466" i="3" s="1"/>
  <c r="F466" i="3" l="1"/>
  <c r="I466" i="3"/>
  <c r="J466" i="3"/>
  <c r="M466" i="3"/>
  <c r="N466" i="3" s="1"/>
  <c r="V466" i="3"/>
  <c r="A467" i="3"/>
  <c r="B467" i="3" s="1"/>
  <c r="W466" i="3" l="1"/>
  <c r="L466" i="3"/>
  <c r="P467" i="3"/>
  <c r="Q467" i="3" s="1"/>
  <c r="R467" i="3" s="1"/>
  <c r="S467" i="3" s="1"/>
  <c r="AA467" i="3"/>
  <c r="Z467" i="3"/>
  <c r="AC467" i="3"/>
  <c r="U466" i="3" l="1"/>
  <c r="Y465" i="3"/>
  <c r="T467" i="3"/>
  <c r="E467" i="3" l="1"/>
  <c r="H467" i="3" s="1"/>
  <c r="K467" i="3" s="1"/>
  <c r="AE467" i="3" s="1"/>
  <c r="AG467" i="3"/>
  <c r="D467" i="3"/>
  <c r="AH467" i="3"/>
  <c r="F467" i="3" l="1"/>
  <c r="G467" i="3"/>
  <c r="V467" i="3"/>
  <c r="A468" i="3"/>
  <c r="B468" i="3" s="1"/>
  <c r="AC468" i="3" l="1"/>
  <c r="Z468" i="3"/>
  <c r="P468" i="3"/>
  <c r="Q468" i="3" s="1"/>
  <c r="R468" i="3" s="1"/>
  <c r="S468" i="3" s="1"/>
  <c r="AA468" i="3"/>
  <c r="AD468" i="3"/>
  <c r="I467" i="3"/>
  <c r="W467" i="3" s="1"/>
  <c r="J467" i="3"/>
  <c r="AD467" i="3" s="1"/>
  <c r="M467" i="3"/>
  <c r="N467" i="3" s="1"/>
  <c r="L467" i="3" l="1"/>
  <c r="T468" i="3"/>
  <c r="U467" i="3" l="1"/>
  <c r="D468" i="3" s="1"/>
  <c r="AH468" i="3"/>
  <c r="AG468" i="3"/>
  <c r="Y466" i="3"/>
  <c r="E468" i="3" l="1"/>
  <c r="H468" i="3" s="1"/>
  <c r="K468" i="3" s="1"/>
  <c r="AE468" i="3" s="1"/>
  <c r="G468" i="3"/>
  <c r="F468" i="3" l="1"/>
  <c r="I468" i="3"/>
  <c r="J468" i="3"/>
  <c r="M468" i="3"/>
  <c r="N468" i="3" s="1"/>
  <c r="V468" i="3"/>
  <c r="A469" i="3"/>
  <c r="B469" i="3" s="1"/>
  <c r="W468" i="3" l="1"/>
  <c r="L468" i="3"/>
  <c r="AD469" i="3"/>
  <c r="AA469" i="3"/>
  <c r="P469" i="3"/>
  <c r="Q469" i="3" s="1"/>
  <c r="R469" i="3" s="1"/>
  <c r="S469" i="3" s="1"/>
  <c r="Z469" i="3"/>
  <c r="AC469" i="3"/>
  <c r="U468" i="3" l="1"/>
  <c r="Y467" i="3"/>
  <c r="T469" i="3"/>
  <c r="AG469" i="3" s="1"/>
  <c r="D469" i="3" l="1"/>
  <c r="G469" i="3" s="1"/>
  <c r="AH469" i="3"/>
  <c r="E469" i="3"/>
  <c r="H469" i="3" s="1"/>
  <c r="K469" i="3" s="1"/>
  <c r="AE469" i="3" s="1"/>
  <c r="F469" i="3" l="1"/>
  <c r="I469" i="3"/>
  <c r="J469" i="3"/>
  <c r="M469" i="3"/>
  <c r="N469" i="3" s="1"/>
  <c r="V469" i="3"/>
  <c r="A470" i="3"/>
  <c r="B470" i="3" s="1"/>
  <c r="W469" i="3" l="1"/>
  <c r="L469" i="3"/>
  <c r="AC470" i="3"/>
  <c r="P470" i="3"/>
  <c r="Q470" i="3" s="1"/>
  <c r="R470" i="3" s="1"/>
  <c r="S470" i="3" s="1"/>
  <c r="AA470" i="3"/>
  <c r="Z470" i="3"/>
  <c r="AD470" i="3"/>
  <c r="U469" i="3" l="1"/>
  <c r="Y468" i="3"/>
  <c r="T470" i="3"/>
  <c r="D470" i="3" l="1"/>
  <c r="G470" i="3" s="1"/>
  <c r="AH470" i="3"/>
  <c r="AG470" i="3"/>
  <c r="E470" i="3"/>
  <c r="H470" i="3" s="1"/>
  <c r="K470" i="3" l="1"/>
  <c r="AE470" i="3" s="1"/>
  <c r="F470" i="3"/>
  <c r="I470" i="3"/>
  <c r="J470" i="3"/>
  <c r="M470" i="3"/>
  <c r="N470" i="3" s="1"/>
  <c r="V470" i="3" l="1"/>
  <c r="W470" i="3" s="1"/>
  <c r="A471" i="3"/>
  <c r="B471" i="3" s="1"/>
  <c r="L470" i="3"/>
  <c r="U470" i="3" l="1"/>
  <c r="Y469" i="3"/>
  <c r="Z471" i="3"/>
  <c r="AA471" i="3"/>
  <c r="AC471" i="3"/>
  <c r="P471" i="3"/>
  <c r="Q471" i="3" s="1"/>
  <c r="R471" i="3" s="1"/>
  <c r="S471" i="3" s="1"/>
  <c r="T471" i="3" l="1"/>
  <c r="AH471" i="3" s="1"/>
  <c r="AG471" i="3" l="1"/>
  <c r="E471" i="3"/>
  <c r="H471" i="3" s="1"/>
  <c r="D471" i="3"/>
  <c r="F471" i="3" l="1"/>
  <c r="G471" i="3"/>
  <c r="K471" i="3"/>
  <c r="AE471" i="3" s="1"/>
  <c r="V471" i="3" l="1"/>
  <c r="A472" i="3"/>
  <c r="B472" i="3" s="1"/>
  <c r="I471" i="3"/>
  <c r="J471" i="3"/>
  <c r="AD471" i="3" s="1"/>
  <c r="M471" i="3"/>
  <c r="N471" i="3" s="1"/>
  <c r="W471" i="3" l="1"/>
  <c r="L471" i="3"/>
  <c r="Z472" i="3"/>
  <c r="AA472" i="3"/>
  <c r="P472" i="3"/>
  <c r="Q472" i="3" s="1"/>
  <c r="R472" i="3" s="1"/>
  <c r="S472" i="3" s="1"/>
  <c r="AD472" i="3"/>
  <c r="AC472" i="3"/>
  <c r="U471" i="3" l="1"/>
  <c r="Y470" i="3"/>
  <c r="T472" i="3"/>
  <c r="E472" i="3" l="1"/>
  <c r="H472" i="3" s="1"/>
  <c r="K472" i="3" s="1"/>
  <c r="AE472" i="3" s="1"/>
  <c r="AG472" i="3"/>
  <c r="AH472" i="3"/>
  <c r="D472" i="3"/>
  <c r="V472" i="3" l="1"/>
  <c r="A473" i="3"/>
  <c r="B473" i="3" s="1"/>
  <c r="F472" i="3"/>
  <c r="G472" i="3"/>
  <c r="I472" i="3" l="1"/>
  <c r="W472" i="3" s="1"/>
  <c r="J472" i="3"/>
  <c r="M472" i="3"/>
  <c r="N472" i="3" s="1"/>
  <c r="AC473" i="3"/>
  <c r="P473" i="3"/>
  <c r="Q473" i="3" s="1"/>
  <c r="R473" i="3" s="1"/>
  <c r="S473" i="3" s="1"/>
  <c r="AD473" i="3"/>
  <c r="Z473" i="3"/>
  <c r="AA473" i="3"/>
  <c r="L472" i="3" l="1"/>
  <c r="T473" i="3"/>
  <c r="U472" i="3" l="1"/>
  <c r="D473" i="3" s="1"/>
  <c r="AH473" i="3"/>
  <c r="AG473" i="3"/>
  <c r="Y471" i="3"/>
  <c r="G473" i="3" l="1"/>
  <c r="E473" i="3"/>
  <c r="H473" i="3" s="1"/>
  <c r="F473" i="3" l="1"/>
  <c r="I473" i="3"/>
  <c r="J473" i="3"/>
  <c r="M473" i="3"/>
  <c r="N473" i="3" s="1"/>
  <c r="K473" i="3"/>
  <c r="AE473" i="3" s="1"/>
  <c r="V473" i="3" l="1"/>
  <c r="W473" i="3" s="1"/>
  <c r="A474" i="3"/>
  <c r="B474" i="3" s="1"/>
  <c r="L473" i="3"/>
  <c r="U473" i="3" l="1"/>
  <c r="Y472" i="3"/>
  <c r="P474" i="3"/>
  <c r="Q474" i="3" s="1"/>
  <c r="R474" i="3" s="1"/>
  <c r="S474" i="3" s="1"/>
  <c r="Z474" i="3"/>
  <c r="AA474" i="3"/>
  <c r="AC474" i="3"/>
  <c r="T474" i="3" l="1"/>
  <c r="D474" i="3" s="1"/>
  <c r="AG474" i="3" l="1"/>
  <c r="AH474" i="3"/>
  <c r="G474" i="3"/>
  <c r="E474" i="3"/>
  <c r="H474" i="3" s="1"/>
  <c r="I474" i="3" l="1"/>
  <c r="J474" i="3"/>
  <c r="AD474" i="3" s="1"/>
  <c r="M474" i="3"/>
  <c r="N474" i="3" s="1"/>
  <c r="F474" i="3"/>
  <c r="K474" i="3"/>
  <c r="AE474" i="3" s="1"/>
  <c r="V474" i="3" l="1"/>
  <c r="W474" i="3" s="1"/>
  <c r="A475" i="3"/>
  <c r="B475" i="3" s="1"/>
  <c r="L474" i="3"/>
  <c r="U474" i="3" l="1"/>
  <c r="Y473" i="3"/>
  <c r="AC475" i="3"/>
  <c r="Z475" i="3"/>
  <c r="P475" i="3"/>
  <c r="Q475" i="3" s="1"/>
  <c r="R475" i="3" s="1"/>
  <c r="S475" i="3" s="1"/>
  <c r="AD475" i="3"/>
  <c r="AA475" i="3"/>
  <c r="T475" i="3" l="1"/>
  <c r="AG475" i="3" s="1"/>
  <c r="AH475" i="3" l="1"/>
  <c r="E475" i="3"/>
  <c r="H475" i="3" s="1"/>
  <c r="K475" i="3" s="1"/>
  <c r="AE475" i="3" s="1"/>
  <c r="D475" i="3"/>
  <c r="F475" i="3" l="1"/>
  <c r="G475" i="3"/>
  <c r="M475" i="3" s="1"/>
  <c r="N475" i="3" s="1"/>
  <c r="V475" i="3"/>
  <c r="A476" i="3"/>
  <c r="B476" i="3" s="1"/>
  <c r="I475" i="3" l="1"/>
  <c r="W475" i="3" s="1"/>
  <c r="J475" i="3"/>
  <c r="L475" i="3" s="1"/>
  <c r="P476" i="3"/>
  <c r="Q476" i="3" s="1"/>
  <c r="R476" i="3" s="1"/>
  <c r="S476" i="3" s="1"/>
  <c r="AA476" i="3"/>
  <c r="AD476" i="3"/>
  <c r="Z476" i="3"/>
  <c r="AC476" i="3"/>
  <c r="U475" i="3" l="1"/>
  <c r="Y474" i="3"/>
  <c r="T476" i="3"/>
  <c r="AG476" i="3" s="1"/>
  <c r="D476" i="3" l="1"/>
  <c r="G476" i="3" s="1"/>
  <c r="E476" i="3"/>
  <c r="H476" i="3" s="1"/>
  <c r="K476" i="3" s="1"/>
  <c r="AE476" i="3" s="1"/>
  <c r="AH476" i="3"/>
  <c r="F476" i="3" l="1"/>
  <c r="V476" i="3"/>
  <c r="A477" i="3"/>
  <c r="B477" i="3" s="1"/>
  <c r="I476" i="3"/>
  <c r="J476" i="3"/>
  <c r="M476" i="3"/>
  <c r="N476" i="3" s="1"/>
  <c r="W476" i="3" l="1"/>
  <c r="L476" i="3"/>
  <c r="AA477" i="3"/>
  <c r="P477" i="3"/>
  <c r="Q477" i="3" s="1"/>
  <c r="R477" i="3" s="1"/>
  <c r="S477" i="3" s="1"/>
  <c r="AC477" i="3"/>
  <c r="Z477" i="3"/>
  <c r="U476" i="3" l="1"/>
  <c r="Y475" i="3"/>
  <c r="T477" i="3"/>
  <c r="D477" i="3" l="1"/>
  <c r="G477" i="3" s="1"/>
  <c r="AG477" i="3"/>
  <c r="E477" i="3"/>
  <c r="H477" i="3" s="1"/>
  <c r="K477" i="3" s="1"/>
  <c r="AE477" i="3" s="1"/>
  <c r="AH477" i="3"/>
  <c r="F477" i="3" l="1"/>
  <c r="V477" i="3"/>
  <c r="A478" i="3"/>
  <c r="B478" i="3" s="1"/>
  <c r="I477" i="3"/>
  <c r="J477" i="3"/>
  <c r="AD477" i="3" s="1"/>
  <c r="M477" i="3"/>
  <c r="N477" i="3" s="1"/>
  <c r="W477" i="3" l="1"/>
  <c r="L477" i="3"/>
  <c r="AA478" i="3"/>
  <c r="AD478" i="3"/>
  <c r="P478" i="3"/>
  <c r="Q478" i="3" s="1"/>
  <c r="R478" i="3" s="1"/>
  <c r="S478" i="3" s="1"/>
  <c r="AC478" i="3"/>
  <c r="Z478" i="3"/>
  <c r="T478" i="3" l="1"/>
  <c r="U477" i="3"/>
  <c r="Y476" i="3"/>
  <c r="E478" i="3" l="1"/>
  <c r="H478" i="3" s="1"/>
  <c r="K478" i="3" s="1"/>
  <c r="AE478" i="3" s="1"/>
  <c r="AG478" i="3"/>
  <c r="AH478" i="3"/>
  <c r="D478" i="3"/>
  <c r="F478" i="3" l="1"/>
  <c r="G478" i="3"/>
  <c r="V478" i="3"/>
  <c r="A479" i="3"/>
  <c r="B479" i="3" s="1"/>
  <c r="I478" i="3" l="1"/>
  <c r="W478" i="3" s="1"/>
  <c r="J478" i="3"/>
  <c r="M478" i="3"/>
  <c r="N478" i="3" s="1"/>
  <c r="P479" i="3"/>
  <c r="Q479" i="3" s="1"/>
  <c r="R479" i="3" s="1"/>
  <c r="S479" i="3" s="1"/>
  <c r="AD479" i="3"/>
  <c r="AC479" i="3"/>
  <c r="AA479" i="3"/>
  <c r="Z479" i="3"/>
  <c r="T479" i="3" l="1"/>
  <c r="L478" i="3"/>
  <c r="U478" i="3" l="1"/>
  <c r="E479" i="3" s="1"/>
  <c r="H479" i="3" s="1"/>
  <c r="AH479" i="3"/>
  <c r="AG479" i="3"/>
  <c r="Y477" i="3"/>
  <c r="D479" i="3" l="1"/>
  <c r="G479" i="3" s="1"/>
  <c r="K479" i="3"/>
  <c r="AE479" i="3" s="1"/>
  <c r="F479" i="3" l="1"/>
  <c r="I479" i="3"/>
  <c r="J479" i="3"/>
  <c r="M479" i="3"/>
  <c r="N479" i="3" s="1"/>
  <c r="V479" i="3"/>
  <c r="A480" i="3"/>
  <c r="B480" i="3" s="1"/>
  <c r="W479" i="3" l="1"/>
  <c r="AA480" i="3"/>
  <c r="P480" i="3"/>
  <c r="Q480" i="3" s="1"/>
  <c r="R480" i="3" s="1"/>
  <c r="S480" i="3" s="1"/>
  <c r="AD480" i="3"/>
  <c r="AC480" i="3"/>
  <c r="Z480" i="3"/>
  <c r="L479" i="3"/>
  <c r="U479" i="3" l="1"/>
  <c r="Y478" i="3"/>
  <c r="T480" i="3"/>
  <c r="E480" i="3" l="1"/>
  <c r="H480" i="3" s="1"/>
  <c r="K480" i="3" s="1"/>
  <c r="AE480" i="3" s="1"/>
  <c r="AH480" i="3"/>
  <c r="AG480" i="3"/>
  <c r="D480" i="3"/>
  <c r="V480" i="3" l="1"/>
  <c r="A481" i="3"/>
  <c r="B481" i="3" s="1"/>
  <c r="F480" i="3"/>
  <c r="G480" i="3"/>
  <c r="I480" i="3" l="1"/>
  <c r="W480" i="3" s="1"/>
  <c r="J480" i="3"/>
  <c r="M480" i="3"/>
  <c r="N480" i="3" s="1"/>
  <c r="P481" i="3"/>
  <c r="Q481" i="3" s="1"/>
  <c r="R481" i="3" s="1"/>
  <c r="S481" i="3" s="1"/>
  <c r="AC481" i="3"/>
  <c r="AA481" i="3"/>
  <c r="Z481" i="3"/>
  <c r="T481" i="3" l="1"/>
  <c r="L480" i="3"/>
  <c r="U480" i="3" l="1"/>
  <c r="D481" i="3" s="1"/>
  <c r="AG481" i="3"/>
  <c r="AH481" i="3"/>
  <c r="Y479" i="3"/>
  <c r="G481" i="3" l="1"/>
  <c r="E481" i="3"/>
  <c r="H481" i="3" s="1"/>
  <c r="K481" i="3" l="1"/>
  <c r="AE481" i="3" s="1"/>
  <c r="I481" i="3"/>
  <c r="J481" i="3"/>
  <c r="AD481" i="3" s="1"/>
  <c r="M481" i="3"/>
  <c r="N481" i="3" s="1"/>
  <c r="F481" i="3"/>
  <c r="V481" i="3" l="1"/>
  <c r="W481" i="3" s="1"/>
  <c r="A482" i="3"/>
  <c r="B482" i="3" s="1"/>
  <c r="L481" i="3"/>
  <c r="U481" i="3" l="1"/>
  <c r="Y480" i="3"/>
  <c r="AC482" i="3"/>
  <c r="AA482" i="3"/>
  <c r="P482" i="3"/>
  <c r="Q482" i="3" s="1"/>
  <c r="R482" i="3" s="1"/>
  <c r="S482" i="3" s="1"/>
  <c r="AD482" i="3"/>
  <c r="Z482" i="3"/>
  <c r="T482" i="3" l="1"/>
  <c r="D482" i="3" s="1"/>
  <c r="AG482" i="3" l="1"/>
  <c r="G482" i="3"/>
  <c r="AH482" i="3"/>
  <c r="E482" i="3"/>
  <c r="H482" i="3" s="1"/>
  <c r="F482" i="3" l="1"/>
  <c r="I482" i="3"/>
  <c r="J482" i="3"/>
  <c r="M482" i="3"/>
  <c r="N482" i="3" s="1"/>
  <c r="K482" i="3"/>
  <c r="AE482" i="3" s="1"/>
  <c r="V482" i="3" l="1"/>
  <c r="W482" i="3" s="1"/>
  <c r="A483" i="3"/>
  <c r="B483" i="3" s="1"/>
  <c r="L482" i="3"/>
  <c r="U482" i="3" l="1"/>
  <c r="Y481" i="3"/>
  <c r="P483" i="3"/>
  <c r="Q483" i="3" s="1"/>
  <c r="R483" i="3" s="1"/>
  <c r="S483" i="3" s="1"/>
  <c r="Z483" i="3"/>
  <c r="AC483" i="3"/>
  <c r="AD483" i="3"/>
  <c r="AA483" i="3"/>
  <c r="T483" i="3" l="1"/>
  <c r="E483" i="3" s="1"/>
  <c r="H483" i="3" s="1"/>
  <c r="AG483" i="3" l="1"/>
  <c r="AH483" i="3"/>
  <c r="D483" i="3"/>
  <c r="G483" i="3" s="1"/>
  <c r="K483" i="3"/>
  <c r="AE483" i="3" s="1"/>
  <c r="F483" i="3" l="1"/>
  <c r="I483" i="3"/>
  <c r="J483" i="3"/>
  <c r="M483" i="3"/>
  <c r="N483" i="3" s="1"/>
  <c r="V483" i="3"/>
  <c r="A484" i="3"/>
  <c r="B484" i="3" s="1"/>
  <c r="W483" i="3" l="1"/>
  <c r="L483" i="3"/>
  <c r="AC484" i="3"/>
  <c r="Z484" i="3"/>
  <c r="AA484" i="3"/>
  <c r="P484" i="3"/>
  <c r="Q484" i="3" s="1"/>
  <c r="R484" i="3" s="1"/>
  <c r="S484" i="3" s="1"/>
  <c r="T484" i="3" l="1"/>
  <c r="U483" i="3"/>
  <c r="Y482" i="3"/>
  <c r="E484" i="3" l="1"/>
  <c r="H484" i="3" s="1"/>
  <c r="K484" i="3" s="1"/>
  <c r="AE484" i="3" s="1"/>
  <c r="D484" i="3"/>
  <c r="G484" i="3" s="1"/>
  <c r="AG484" i="3"/>
  <c r="AH484" i="3"/>
  <c r="F484" i="3" l="1"/>
  <c r="V484" i="3"/>
  <c r="A485" i="3"/>
  <c r="B485" i="3" s="1"/>
  <c r="I484" i="3"/>
  <c r="J484" i="3"/>
  <c r="AD484" i="3" s="1"/>
  <c r="M484" i="3"/>
  <c r="N484" i="3" s="1"/>
  <c r="W484" i="3" l="1"/>
  <c r="L484" i="3"/>
  <c r="P485" i="3"/>
  <c r="Q485" i="3" s="1"/>
  <c r="R485" i="3" s="1"/>
  <c r="S485" i="3" s="1"/>
  <c r="AD485" i="3"/>
  <c r="AA485" i="3"/>
  <c r="AC485" i="3"/>
  <c r="Z485" i="3"/>
  <c r="U484" i="3" l="1"/>
  <c r="Y483" i="3"/>
  <c r="T485" i="3"/>
  <c r="D485" i="3" l="1"/>
  <c r="G485" i="3" s="1"/>
  <c r="AG485" i="3"/>
  <c r="AH485" i="3"/>
  <c r="E485" i="3"/>
  <c r="H485" i="3" s="1"/>
  <c r="K485" i="3" s="1"/>
  <c r="AE485" i="3" s="1"/>
  <c r="F485" i="3" l="1"/>
  <c r="I485" i="3"/>
  <c r="J485" i="3"/>
  <c r="M485" i="3"/>
  <c r="N485" i="3" s="1"/>
  <c r="V485" i="3"/>
  <c r="A486" i="3"/>
  <c r="B486" i="3" s="1"/>
  <c r="W485" i="3" l="1"/>
  <c r="L485" i="3"/>
  <c r="AA486" i="3"/>
  <c r="P486" i="3"/>
  <c r="Q486" i="3" s="1"/>
  <c r="R486" i="3" s="1"/>
  <c r="S486" i="3" s="1"/>
  <c r="AC486" i="3"/>
  <c r="AD486" i="3"/>
  <c r="Z486" i="3"/>
  <c r="T486" i="3" l="1"/>
  <c r="AH486" i="3" s="1"/>
  <c r="U485" i="3"/>
  <c r="Y484" i="3"/>
  <c r="D486" i="3" l="1"/>
  <c r="G486" i="3" s="1"/>
  <c r="AG486" i="3"/>
  <c r="E486" i="3"/>
  <c r="H486" i="3" s="1"/>
  <c r="K486" i="3" s="1"/>
  <c r="AE486" i="3" s="1"/>
  <c r="F486" i="3" l="1"/>
  <c r="V486" i="3"/>
  <c r="A487" i="3"/>
  <c r="B487" i="3" s="1"/>
  <c r="I486" i="3"/>
  <c r="J486" i="3"/>
  <c r="M486" i="3"/>
  <c r="N486" i="3" s="1"/>
  <c r="W486" i="3" l="1"/>
  <c r="L486" i="3"/>
  <c r="AA487" i="3"/>
  <c r="P487" i="3"/>
  <c r="Q487" i="3" s="1"/>
  <c r="R487" i="3" s="1"/>
  <c r="S487" i="3" s="1"/>
  <c r="AC487" i="3"/>
  <c r="Z487" i="3"/>
  <c r="T487" i="3" l="1"/>
  <c r="U486" i="3"/>
  <c r="Y485" i="3"/>
  <c r="E487" i="3" l="1"/>
  <c r="H487" i="3" s="1"/>
  <c r="K487" i="3" s="1"/>
  <c r="AE487" i="3" s="1"/>
  <c r="D487" i="3"/>
  <c r="AH487" i="3"/>
  <c r="AG487" i="3"/>
  <c r="V487" i="3" l="1"/>
  <c r="A488" i="3"/>
  <c r="B488" i="3" s="1"/>
  <c r="F487" i="3"/>
  <c r="G487" i="3"/>
  <c r="I487" i="3" l="1"/>
  <c r="W487" i="3" s="1"/>
  <c r="J487" i="3"/>
  <c r="AD487" i="3" s="1"/>
  <c r="M487" i="3"/>
  <c r="N487" i="3" s="1"/>
  <c r="AA488" i="3"/>
  <c r="AD488" i="3"/>
  <c r="Z488" i="3"/>
  <c r="P488" i="3"/>
  <c r="Q488" i="3" s="1"/>
  <c r="R488" i="3" s="1"/>
  <c r="S488" i="3" s="1"/>
  <c r="AC488" i="3"/>
  <c r="L487" i="3" l="1"/>
  <c r="T488" i="3"/>
  <c r="U487" i="3" l="1"/>
  <c r="D488" i="3" s="1"/>
  <c r="AG488" i="3"/>
  <c r="AH488" i="3"/>
  <c r="Y486" i="3"/>
  <c r="E488" i="3" l="1"/>
  <c r="H488" i="3" s="1"/>
  <c r="K488" i="3" s="1"/>
  <c r="AE488" i="3" s="1"/>
  <c r="G488" i="3"/>
  <c r="F488" i="3" l="1"/>
  <c r="I488" i="3"/>
  <c r="J488" i="3"/>
  <c r="M488" i="3"/>
  <c r="N488" i="3" s="1"/>
  <c r="V488" i="3"/>
  <c r="A489" i="3"/>
  <c r="B489" i="3" s="1"/>
  <c r="W488" i="3" l="1"/>
  <c r="L488" i="3"/>
  <c r="P489" i="3"/>
  <c r="Q489" i="3" s="1"/>
  <c r="R489" i="3" s="1"/>
  <c r="S489" i="3" s="1"/>
  <c r="AC489" i="3"/>
  <c r="AA489" i="3"/>
  <c r="AD489" i="3"/>
  <c r="Z489" i="3"/>
  <c r="U488" i="3" l="1"/>
  <c r="Y487" i="3"/>
  <c r="T489" i="3"/>
  <c r="AH489" i="3" s="1"/>
  <c r="AG489" i="3" l="1"/>
  <c r="D489" i="3"/>
  <c r="E489" i="3"/>
  <c r="H489" i="3" s="1"/>
  <c r="K489" i="3" s="1"/>
  <c r="AE489" i="3" s="1"/>
  <c r="F489" i="3" l="1"/>
  <c r="G489" i="3"/>
  <c r="M489" i="3" s="1"/>
  <c r="N489" i="3" s="1"/>
  <c r="V489" i="3"/>
  <c r="A490" i="3"/>
  <c r="B490" i="3" s="1"/>
  <c r="I489" i="3" l="1"/>
  <c r="W489" i="3" s="1"/>
  <c r="J489" i="3"/>
  <c r="L489" i="3" s="1"/>
  <c r="Z490" i="3"/>
  <c r="AC490" i="3"/>
  <c r="P490" i="3"/>
  <c r="Q490" i="3" s="1"/>
  <c r="R490" i="3" s="1"/>
  <c r="S490" i="3" s="1"/>
  <c r="AD490" i="3"/>
  <c r="AA490" i="3"/>
  <c r="T490" i="3" l="1"/>
  <c r="AH490" i="3" s="1"/>
  <c r="U489" i="3"/>
  <c r="Y488" i="3"/>
  <c r="E490" i="3" l="1"/>
  <c r="H490" i="3" s="1"/>
  <c r="K490" i="3" s="1"/>
  <c r="AE490" i="3" s="1"/>
  <c r="D490" i="3"/>
  <c r="AG490" i="3"/>
  <c r="V490" i="3" l="1"/>
  <c r="A491" i="3"/>
  <c r="B491" i="3" s="1"/>
  <c r="F490" i="3"/>
  <c r="G490" i="3"/>
  <c r="I490" i="3" l="1"/>
  <c r="W490" i="3" s="1"/>
  <c r="J490" i="3"/>
  <c r="M490" i="3"/>
  <c r="N490" i="3" s="1"/>
  <c r="P491" i="3"/>
  <c r="Q491" i="3" s="1"/>
  <c r="R491" i="3" s="1"/>
  <c r="S491" i="3" s="1"/>
  <c r="Z491" i="3"/>
  <c r="AC491" i="3"/>
  <c r="AA491" i="3"/>
  <c r="T491" i="3" l="1"/>
  <c r="L490" i="3"/>
  <c r="AH491" i="3" l="1"/>
  <c r="U490" i="3"/>
  <c r="D491" i="3" s="1"/>
  <c r="AG491" i="3"/>
  <c r="Y489" i="3"/>
  <c r="E491" i="3" l="1"/>
  <c r="H491" i="3" s="1"/>
  <c r="K491" i="3" s="1"/>
  <c r="AE491" i="3" s="1"/>
  <c r="G491" i="3"/>
  <c r="F491" i="3" l="1"/>
  <c r="I491" i="3"/>
  <c r="J491" i="3"/>
  <c r="AD491" i="3" s="1"/>
  <c r="M491" i="3"/>
  <c r="N491" i="3" s="1"/>
  <c r="V491" i="3"/>
  <c r="A492" i="3"/>
  <c r="B492" i="3" s="1"/>
  <c r="W491" i="3" l="1"/>
  <c r="L491" i="3"/>
  <c r="AC492" i="3"/>
  <c r="AA492" i="3"/>
  <c r="P492" i="3"/>
  <c r="Q492" i="3" s="1"/>
  <c r="R492" i="3" s="1"/>
  <c r="S492" i="3" s="1"/>
  <c r="Z492" i="3"/>
  <c r="AD492" i="3"/>
  <c r="T492" i="3" l="1"/>
  <c r="U491" i="3"/>
  <c r="Y490" i="3"/>
  <c r="D492" i="3" l="1"/>
  <c r="G492" i="3" s="1"/>
  <c r="AH492" i="3"/>
  <c r="AG492" i="3"/>
  <c r="E492" i="3"/>
  <c r="H492" i="3" s="1"/>
  <c r="F492" i="3" l="1"/>
  <c r="I492" i="3"/>
  <c r="J492" i="3"/>
  <c r="M492" i="3"/>
  <c r="N492" i="3" s="1"/>
  <c r="K492" i="3"/>
  <c r="AE492" i="3" s="1"/>
  <c r="L492" i="3" l="1"/>
  <c r="V492" i="3"/>
  <c r="W492" i="3" s="1"/>
  <c r="A493" i="3"/>
  <c r="B493" i="3" s="1"/>
  <c r="U492" i="3" l="1"/>
  <c r="Y491" i="3"/>
  <c r="P493" i="3"/>
  <c r="Q493" i="3" s="1"/>
  <c r="R493" i="3" s="1"/>
  <c r="S493" i="3" s="1"/>
  <c r="AC493" i="3"/>
  <c r="AA493" i="3"/>
  <c r="Z493" i="3"/>
  <c r="AD493" i="3"/>
  <c r="T493" i="3" l="1"/>
  <c r="AH493" i="3" s="1"/>
  <c r="AG493" i="3" l="1"/>
  <c r="E493" i="3"/>
  <c r="H493" i="3" s="1"/>
  <c r="K493" i="3" s="1"/>
  <c r="AE493" i="3" s="1"/>
  <c r="D493" i="3"/>
  <c r="F493" i="3" l="1"/>
  <c r="G493" i="3"/>
  <c r="J493" i="3" s="1"/>
  <c r="V493" i="3"/>
  <c r="A494" i="3"/>
  <c r="B494" i="3" s="1"/>
  <c r="M493" i="3" l="1"/>
  <c r="N493" i="3" s="1"/>
  <c r="I493" i="3"/>
  <c r="W493" i="3" s="1"/>
  <c r="L493" i="3"/>
  <c r="P494" i="3"/>
  <c r="Q494" i="3" s="1"/>
  <c r="R494" i="3" s="1"/>
  <c r="S494" i="3" s="1"/>
  <c r="AC494" i="3"/>
  <c r="Z494" i="3"/>
  <c r="AA494" i="3"/>
  <c r="T494" i="3" l="1"/>
  <c r="AH494" i="3" s="1"/>
  <c r="U493" i="3"/>
  <c r="Y492" i="3"/>
  <c r="E494" i="3" l="1"/>
  <c r="H494" i="3" s="1"/>
  <c r="K494" i="3" s="1"/>
  <c r="AE494" i="3" s="1"/>
  <c r="D494" i="3"/>
  <c r="AG494" i="3"/>
  <c r="F494" i="3" l="1"/>
  <c r="G494" i="3"/>
  <c r="V494" i="3"/>
  <c r="A495" i="3"/>
  <c r="B495" i="3" s="1"/>
  <c r="Z495" i="3" l="1"/>
  <c r="P495" i="3"/>
  <c r="Q495" i="3" s="1"/>
  <c r="R495" i="3" s="1"/>
  <c r="S495" i="3" s="1"/>
  <c r="AA495" i="3"/>
  <c r="AD495" i="3"/>
  <c r="AC495" i="3"/>
  <c r="I494" i="3"/>
  <c r="W494" i="3" s="1"/>
  <c r="J494" i="3"/>
  <c r="AD494" i="3" s="1"/>
  <c r="M494" i="3"/>
  <c r="N494" i="3" s="1"/>
  <c r="L494" i="3" l="1"/>
  <c r="T495" i="3"/>
  <c r="AG495" i="3" l="1"/>
  <c r="U494" i="3"/>
  <c r="D495" i="3" s="1"/>
  <c r="AH495" i="3"/>
  <c r="Y493" i="3"/>
  <c r="E495" i="3" l="1"/>
  <c r="H495" i="3" s="1"/>
  <c r="K495" i="3" s="1"/>
  <c r="AE495" i="3" s="1"/>
  <c r="G495" i="3"/>
  <c r="F495" i="3" l="1"/>
  <c r="V495" i="3"/>
  <c r="A496" i="3"/>
  <c r="B496" i="3" s="1"/>
  <c r="I495" i="3"/>
  <c r="J495" i="3"/>
  <c r="M495" i="3"/>
  <c r="N495" i="3" s="1"/>
  <c r="W495" i="3" l="1"/>
  <c r="L495" i="3"/>
  <c r="AD496" i="3"/>
  <c r="AA496" i="3"/>
  <c r="P496" i="3"/>
  <c r="Q496" i="3" s="1"/>
  <c r="R496" i="3" s="1"/>
  <c r="S496" i="3" s="1"/>
  <c r="Z496" i="3"/>
  <c r="AC496" i="3"/>
  <c r="U495" i="3" l="1"/>
  <c r="Y494" i="3"/>
  <c r="T496" i="3"/>
  <c r="AH496" i="3" s="1"/>
  <c r="D496" i="3" l="1"/>
  <c r="G496" i="3" s="1"/>
  <c r="AG496" i="3"/>
  <c r="E496" i="3"/>
  <c r="H496" i="3" s="1"/>
  <c r="K496" i="3" s="1"/>
  <c r="AE496" i="3" s="1"/>
  <c r="F496" i="3" l="1"/>
  <c r="V496" i="3"/>
  <c r="A497" i="3"/>
  <c r="B497" i="3" s="1"/>
  <c r="I496" i="3"/>
  <c r="J496" i="3"/>
  <c r="M496" i="3"/>
  <c r="N496" i="3" s="1"/>
  <c r="W496" i="3" l="1"/>
  <c r="L496" i="3"/>
  <c r="P497" i="3"/>
  <c r="Q497" i="3" s="1"/>
  <c r="R497" i="3" s="1"/>
  <c r="S497" i="3" s="1"/>
  <c r="AC497" i="3"/>
  <c r="AA497" i="3"/>
  <c r="Z497" i="3"/>
  <c r="U496" i="3" l="1"/>
  <c r="Y495" i="3"/>
  <c r="T497" i="3"/>
  <c r="AG497" i="3" s="1"/>
  <c r="E497" i="3" l="1"/>
  <c r="H497" i="3" s="1"/>
  <c r="D497" i="3"/>
  <c r="AH497" i="3"/>
  <c r="F497" i="3" l="1"/>
  <c r="G497" i="3"/>
  <c r="K497" i="3"/>
  <c r="AE497" i="3" s="1"/>
  <c r="I497" i="3" l="1"/>
  <c r="J497" i="3"/>
  <c r="AD497" i="3" s="1"/>
  <c r="M497" i="3"/>
  <c r="N497" i="3" s="1"/>
  <c r="V497" i="3"/>
  <c r="A498" i="3"/>
  <c r="B498" i="3" s="1"/>
  <c r="W497" i="3" l="1"/>
  <c r="L497" i="3"/>
  <c r="Z498" i="3"/>
  <c r="AC498" i="3"/>
  <c r="AD498" i="3"/>
  <c r="AA498" i="3"/>
  <c r="P498" i="3"/>
  <c r="Q498" i="3" s="1"/>
  <c r="R498" i="3" s="1"/>
  <c r="S498" i="3" s="1"/>
  <c r="U497" i="3" l="1"/>
  <c r="Y496" i="3"/>
  <c r="T498" i="3"/>
  <c r="AH498" i="3" s="1"/>
  <c r="AG498" i="3" l="1"/>
  <c r="D498" i="3"/>
  <c r="E498" i="3"/>
  <c r="H498" i="3" s="1"/>
  <c r="F498" i="3" l="1"/>
  <c r="G498" i="3"/>
  <c r="K498" i="3"/>
  <c r="AE498" i="3" s="1"/>
  <c r="I498" i="3" l="1"/>
  <c r="J498" i="3"/>
  <c r="M498" i="3"/>
  <c r="N498" i="3" s="1"/>
  <c r="V498" i="3"/>
  <c r="A499" i="3"/>
  <c r="B499" i="3" s="1"/>
  <c r="W498" i="3" l="1"/>
  <c r="L498" i="3"/>
  <c r="AC499" i="3"/>
  <c r="P499" i="3"/>
  <c r="Q499" i="3" s="1"/>
  <c r="R499" i="3" s="1"/>
  <c r="S499" i="3" s="1"/>
  <c r="AD499" i="3"/>
  <c r="AA499" i="3"/>
  <c r="Z499" i="3"/>
  <c r="T499" i="3" l="1"/>
  <c r="U498" i="3"/>
  <c r="Y497" i="3"/>
  <c r="D499" i="3" l="1"/>
  <c r="G499" i="3" s="1"/>
  <c r="AH499" i="3"/>
  <c r="E499" i="3"/>
  <c r="H499" i="3" s="1"/>
  <c r="AG499" i="3"/>
  <c r="F499" i="3" l="1"/>
  <c r="I499" i="3"/>
  <c r="J499" i="3"/>
  <c r="M499" i="3"/>
  <c r="N499" i="3" s="1"/>
  <c r="K499" i="3"/>
  <c r="AE499" i="3" s="1"/>
  <c r="V499" i="3" l="1"/>
  <c r="W499" i="3" s="1"/>
  <c r="A500" i="3"/>
  <c r="B500" i="3" s="1"/>
  <c r="L499" i="3"/>
  <c r="U499" i="3" l="1"/>
  <c r="Y498" i="3"/>
  <c r="AD500" i="3"/>
  <c r="AA500" i="3"/>
  <c r="AC500" i="3"/>
  <c r="P500" i="3"/>
  <c r="Q500" i="3" s="1"/>
  <c r="R500" i="3" s="1"/>
  <c r="S500" i="3" s="1"/>
  <c r="Z500" i="3"/>
  <c r="T500" i="3" l="1"/>
  <c r="AH500" i="3" s="1"/>
  <c r="D500" i="3" l="1"/>
  <c r="AG500" i="3"/>
  <c r="E500" i="3"/>
  <c r="H500" i="3" s="1"/>
  <c r="F500" i="3" l="1"/>
  <c r="G500" i="3"/>
  <c r="K500" i="3"/>
  <c r="AE500" i="3" s="1"/>
  <c r="I500" i="3" l="1"/>
  <c r="J500" i="3"/>
  <c r="M500" i="3"/>
  <c r="N500" i="3" s="1"/>
  <c r="V500" i="3"/>
  <c r="A501" i="3"/>
  <c r="B501" i="3" s="1"/>
  <c r="W500" i="3" l="1"/>
  <c r="L500" i="3"/>
  <c r="P501" i="3"/>
  <c r="Q501" i="3" s="1"/>
  <c r="R501" i="3" s="1"/>
  <c r="S501" i="3" s="1"/>
  <c r="AC501" i="3"/>
  <c r="Z501" i="3"/>
  <c r="AA501" i="3"/>
  <c r="U500" i="3" l="1"/>
  <c r="Y499" i="3"/>
  <c r="T501" i="3"/>
  <c r="D501" i="3" l="1"/>
  <c r="G501" i="3" s="1"/>
  <c r="E501" i="3"/>
  <c r="H501" i="3" s="1"/>
  <c r="K501" i="3" s="1"/>
  <c r="AE501" i="3" s="1"/>
  <c r="AG501" i="3"/>
  <c r="AH501" i="3"/>
  <c r="F501" i="3" l="1"/>
  <c r="I501" i="3"/>
  <c r="J501" i="3"/>
  <c r="AD501" i="3" s="1"/>
  <c r="M501" i="3"/>
  <c r="N501" i="3" s="1"/>
  <c r="V501" i="3"/>
  <c r="A502" i="3"/>
  <c r="B502" i="3" s="1"/>
  <c r="L501" i="3" l="1"/>
  <c r="W501" i="3"/>
  <c r="Z502" i="3"/>
  <c r="AA502" i="3"/>
  <c r="AC502" i="3"/>
  <c r="AD502" i="3"/>
  <c r="P502" i="3"/>
  <c r="Q502" i="3" s="1"/>
  <c r="R502" i="3" s="1"/>
  <c r="S502" i="3" s="1"/>
  <c r="U501" i="3" l="1"/>
  <c r="Y500" i="3"/>
  <c r="T502" i="3"/>
  <c r="E502" i="3" l="1"/>
  <c r="H502" i="3" s="1"/>
  <c r="K502" i="3" s="1"/>
  <c r="AE502" i="3" s="1"/>
  <c r="AG502" i="3"/>
  <c r="D502" i="3"/>
  <c r="AH502" i="3"/>
  <c r="F502" i="3" l="1"/>
  <c r="G502" i="3"/>
  <c r="V502" i="3"/>
  <c r="A503" i="3"/>
  <c r="B503" i="3" s="1"/>
  <c r="I502" i="3" l="1"/>
  <c r="W502" i="3" s="1"/>
  <c r="J502" i="3"/>
  <c r="M502" i="3"/>
  <c r="N502" i="3" s="1"/>
  <c r="AA503" i="3"/>
  <c r="P503" i="3"/>
  <c r="Q503" i="3" s="1"/>
  <c r="R503" i="3" s="1"/>
  <c r="S503" i="3" s="1"/>
  <c r="AD503" i="3"/>
  <c r="AC503" i="3"/>
  <c r="Z503" i="3"/>
  <c r="T503" i="3" l="1"/>
  <c r="L502" i="3"/>
  <c r="AG503" i="3" l="1"/>
  <c r="AH503" i="3"/>
  <c r="U502" i="3"/>
  <c r="E503" i="3" s="1"/>
  <c r="H503" i="3" s="1"/>
  <c r="Y501" i="3"/>
  <c r="D503" i="3" l="1"/>
  <c r="G503" i="3" s="1"/>
  <c r="K503" i="3"/>
  <c r="AE503" i="3" s="1"/>
  <c r="F503" i="3" l="1"/>
  <c r="V503" i="3"/>
  <c r="A504" i="3"/>
  <c r="B504" i="3" s="1"/>
  <c r="I503" i="3"/>
  <c r="J503" i="3"/>
  <c r="M503" i="3"/>
  <c r="N503" i="3" s="1"/>
  <c r="W503" i="3" l="1"/>
  <c r="L503" i="3"/>
  <c r="P504" i="3"/>
  <c r="Q504" i="3" s="1"/>
  <c r="R504" i="3" s="1"/>
  <c r="S504" i="3" s="1"/>
  <c r="Z504" i="3"/>
  <c r="AA504" i="3"/>
  <c r="AC504" i="3"/>
  <c r="U503" i="3" l="1"/>
  <c r="Y502" i="3"/>
  <c r="T504" i="3"/>
  <c r="AG504" i="3" s="1"/>
  <c r="E504" i="3" l="1"/>
  <c r="H504" i="3" s="1"/>
  <c r="K504" i="3" s="1"/>
  <c r="AE504" i="3" s="1"/>
  <c r="D504" i="3"/>
  <c r="AH504" i="3"/>
  <c r="F504" i="3" l="1"/>
  <c r="G504" i="3"/>
  <c r="I504" i="3" s="1"/>
  <c r="V504" i="3"/>
  <c r="A505" i="3"/>
  <c r="B505" i="3" s="1"/>
  <c r="J504" i="3" l="1"/>
  <c r="W504" i="3"/>
  <c r="M504" i="3"/>
  <c r="N504" i="3" s="1"/>
  <c r="P505" i="3"/>
  <c r="Q505" i="3" s="1"/>
  <c r="R505" i="3" s="1"/>
  <c r="S505" i="3" s="1"/>
  <c r="AC505" i="3"/>
  <c r="Z505" i="3"/>
  <c r="AD505" i="3"/>
  <c r="AA505" i="3"/>
  <c r="L504" i="3" l="1"/>
  <c r="Y503" i="3" s="1"/>
  <c r="AD504" i="3"/>
  <c r="T505" i="3"/>
  <c r="AH505" i="3" l="1"/>
  <c r="U504" i="3"/>
  <c r="D505" i="3" s="1"/>
  <c r="G505" i="3" s="1"/>
  <c r="AG505" i="3"/>
  <c r="E505" i="3" l="1"/>
  <c r="H505" i="3" s="1"/>
  <c r="K505" i="3" s="1"/>
  <c r="AE505" i="3" s="1"/>
  <c r="J505" i="3"/>
  <c r="I505" i="3" l="1"/>
  <c r="F505" i="3"/>
  <c r="V505" i="3"/>
  <c r="M505" i="3"/>
  <c r="N505" i="3" s="1"/>
  <c r="A506" i="3"/>
  <c r="B506" i="3" s="1"/>
  <c r="P506" i="3" s="1"/>
  <c r="Q506" i="3" s="1"/>
  <c r="R506" i="3" s="1"/>
  <c r="S506" i="3" s="1"/>
  <c r="L505" i="3"/>
  <c r="W505" i="3" l="1"/>
  <c r="AA506" i="3"/>
  <c r="AD506" i="3"/>
  <c r="AC506" i="3"/>
  <c r="Z506" i="3"/>
  <c r="U505" i="3"/>
  <c r="Y504" i="3"/>
  <c r="T506" i="3"/>
  <c r="AG506" i="3" l="1"/>
  <c r="D506" i="3"/>
  <c r="G506" i="3" s="1"/>
  <c r="AH506" i="3"/>
  <c r="E506" i="3"/>
  <c r="H506" i="3" s="1"/>
  <c r="K506" i="3" s="1"/>
  <c r="AE506" i="3" s="1"/>
  <c r="F506" i="3" l="1"/>
  <c r="I506" i="3"/>
  <c r="J506" i="3"/>
  <c r="M506" i="3"/>
  <c r="N506" i="3" s="1"/>
  <c r="V506" i="3"/>
  <c r="A507" i="3"/>
  <c r="B507" i="3" s="1"/>
  <c r="W506" i="3" l="1"/>
  <c r="L506" i="3"/>
  <c r="AC507" i="3"/>
  <c r="P507" i="3"/>
  <c r="Q507" i="3" s="1"/>
  <c r="R507" i="3" s="1"/>
  <c r="S507" i="3" s="1"/>
  <c r="AA507" i="3"/>
  <c r="Z507" i="3"/>
  <c r="U506" i="3" l="1"/>
  <c r="Y505" i="3"/>
  <c r="T507" i="3"/>
  <c r="AH507" i="3" s="1"/>
  <c r="AG507" i="3" l="1"/>
  <c r="E507" i="3"/>
  <c r="H507" i="3" s="1"/>
  <c r="D507" i="3"/>
  <c r="K507" i="3" l="1"/>
  <c r="AE507" i="3" s="1"/>
  <c r="F507" i="3"/>
  <c r="G507" i="3"/>
  <c r="I507" i="3" l="1"/>
  <c r="J507" i="3"/>
  <c r="AD507" i="3" s="1"/>
  <c r="M507" i="3"/>
  <c r="N507" i="3" s="1"/>
  <c r="V507" i="3"/>
  <c r="A508" i="3"/>
  <c r="B508" i="3" s="1"/>
  <c r="W507" i="3" l="1"/>
  <c r="L507" i="3"/>
  <c r="P508" i="3"/>
  <c r="Q508" i="3" s="1"/>
  <c r="R508" i="3" s="1"/>
  <c r="S508" i="3" s="1"/>
  <c r="AD508" i="3"/>
  <c r="AA508" i="3"/>
  <c r="Z508" i="3"/>
  <c r="AC508" i="3"/>
  <c r="U507" i="3" l="1"/>
  <c r="Y506" i="3"/>
  <c r="T508" i="3"/>
  <c r="E508" i="3" l="1"/>
  <c r="H508" i="3" s="1"/>
  <c r="K508" i="3" s="1"/>
  <c r="AE508" i="3" s="1"/>
  <c r="AH508" i="3"/>
  <c r="D508" i="3"/>
  <c r="AG508" i="3"/>
  <c r="F508" i="3" l="1"/>
  <c r="G508" i="3"/>
  <c r="V508" i="3"/>
  <c r="A509" i="3"/>
  <c r="B509" i="3" s="1"/>
  <c r="AD509" i="3" l="1"/>
  <c r="AC509" i="3"/>
  <c r="Z509" i="3"/>
  <c r="AA509" i="3"/>
  <c r="P509" i="3"/>
  <c r="Q509" i="3" s="1"/>
  <c r="R509" i="3" s="1"/>
  <c r="S509" i="3" s="1"/>
  <c r="I508" i="3"/>
  <c r="W508" i="3" s="1"/>
  <c r="J508" i="3"/>
  <c r="M508" i="3"/>
  <c r="N508" i="3" s="1"/>
  <c r="L508" i="3" l="1"/>
  <c r="T509" i="3"/>
  <c r="AG509" i="3" l="1"/>
  <c r="AH509" i="3"/>
  <c r="U508" i="3"/>
  <c r="D509" i="3" s="1"/>
  <c r="Y507" i="3"/>
  <c r="G509" i="3" l="1"/>
  <c r="E509" i="3"/>
  <c r="H509" i="3" s="1"/>
  <c r="F509" i="3" l="1"/>
  <c r="I509" i="3"/>
  <c r="J509" i="3"/>
  <c r="M509" i="3"/>
  <c r="N509" i="3" s="1"/>
  <c r="K509" i="3"/>
  <c r="AE509" i="3" s="1"/>
  <c r="V509" i="3" l="1"/>
  <c r="W509" i="3" s="1"/>
  <c r="A510" i="3"/>
  <c r="B510" i="3" s="1"/>
  <c r="L509" i="3"/>
  <c r="U509" i="3" l="1"/>
  <c r="Y508" i="3"/>
  <c r="AC510" i="3"/>
  <c r="Z510" i="3"/>
  <c r="AA510" i="3"/>
  <c r="AD510" i="3"/>
  <c r="P510" i="3"/>
  <c r="Q510" i="3" s="1"/>
  <c r="R510" i="3" s="1"/>
  <c r="S510" i="3" s="1"/>
  <c r="T510" i="3" l="1"/>
  <c r="AH510" i="3" l="1"/>
  <c r="E510" i="3"/>
  <c r="H510" i="3" s="1"/>
  <c r="D510" i="3"/>
  <c r="AG510" i="3"/>
  <c r="F510" i="3" l="1"/>
  <c r="G510" i="3"/>
  <c r="K510" i="3"/>
  <c r="AE510" i="3" s="1"/>
  <c r="V510" i="3" l="1"/>
  <c r="A511" i="3"/>
  <c r="B511" i="3" s="1"/>
  <c r="I510" i="3"/>
  <c r="J510" i="3"/>
  <c r="M510" i="3"/>
  <c r="N510" i="3" s="1"/>
  <c r="L510" i="3" l="1"/>
  <c r="AA511" i="3"/>
  <c r="AC511" i="3"/>
  <c r="P511" i="3"/>
  <c r="Q511" i="3" s="1"/>
  <c r="R511" i="3" s="1"/>
  <c r="S511" i="3" s="1"/>
  <c r="Z511" i="3"/>
  <c r="W510" i="3"/>
  <c r="U510" i="3" l="1"/>
  <c r="Y509" i="3"/>
  <c r="T511" i="3"/>
  <c r="AG511" i="3" s="1"/>
  <c r="AH511" i="3" l="1"/>
  <c r="D511" i="3"/>
  <c r="E511" i="3"/>
  <c r="H511" i="3" s="1"/>
  <c r="F511" i="3" l="1"/>
  <c r="G511" i="3"/>
  <c r="K511" i="3"/>
  <c r="AE511" i="3" s="1"/>
  <c r="V511" i="3" l="1"/>
  <c r="A512" i="3"/>
  <c r="B512" i="3" s="1"/>
  <c r="I511" i="3"/>
  <c r="J511" i="3"/>
  <c r="AD511" i="3" s="1"/>
  <c r="M511" i="3"/>
  <c r="N511" i="3" s="1"/>
  <c r="W511" i="3" l="1"/>
  <c r="L511" i="3"/>
  <c r="AC512" i="3"/>
  <c r="Z512" i="3"/>
  <c r="AA512" i="3"/>
  <c r="P512" i="3"/>
  <c r="Q512" i="3" s="1"/>
  <c r="R512" i="3" s="1"/>
  <c r="S512" i="3" s="1"/>
  <c r="AD512" i="3"/>
  <c r="T512" i="3" l="1"/>
  <c r="U511" i="3"/>
  <c r="Y510" i="3"/>
  <c r="D512" i="3" l="1"/>
  <c r="G512" i="3" s="1"/>
  <c r="AH512" i="3"/>
  <c r="E512" i="3"/>
  <c r="H512" i="3" s="1"/>
  <c r="K512" i="3" s="1"/>
  <c r="AE512" i="3" s="1"/>
  <c r="AG512" i="3"/>
  <c r="F512" i="3" l="1"/>
  <c r="I512" i="3"/>
  <c r="J512" i="3"/>
  <c r="M512" i="3"/>
  <c r="N512" i="3" s="1"/>
  <c r="V512" i="3"/>
  <c r="A513" i="3"/>
  <c r="B513" i="3" s="1"/>
  <c r="W512" i="3" l="1"/>
  <c r="L512" i="3"/>
  <c r="AA513" i="3"/>
  <c r="P513" i="3"/>
  <c r="Q513" i="3" s="1"/>
  <c r="R513" i="3" s="1"/>
  <c r="S513" i="3" s="1"/>
  <c r="AC513" i="3"/>
  <c r="AD513" i="3"/>
  <c r="Z513" i="3"/>
  <c r="T513" i="3" l="1"/>
  <c r="AG513" i="3" s="1"/>
  <c r="U512" i="3"/>
  <c r="Y511" i="3"/>
  <c r="AH513" i="3" l="1"/>
  <c r="E513" i="3"/>
  <c r="H513" i="3" s="1"/>
  <c r="D513" i="3"/>
  <c r="F513" i="3" l="1"/>
  <c r="G513" i="3"/>
  <c r="K513" i="3"/>
  <c r="AE513" i="3" s="1"/>
  <c r="V513" i="3" l="1"/>
  <c r="A514" i="3"/>
  <c r="B514" i="3" s="1"/>
  <c r="I513" i="3"/>
  <c r="J513" i="3"/>
  <c r="M513" i="3"/>
  <c r="N513" i="3" s="1"/>
  <c r="L513" i="3" l="1"/>
  <c r="Z514" i="3"/>
  <c r="AA514" i="3"/>
  <c r="AC514" i="3"/>
  <c r="P514" i="3"/>
  <c r="Q514" i="3" s="1"/>
  <c r="R514" i="3" s="1"/>
  <c r="S514" i="3" s="1"/>
  <c r="W513" i="3"/>
  <c r="T514" i="3" l="1"/>
  <c r="AH514" i="3" s="1"/>
  <c r="U513" i="3"/>
  <c r="Y512" i="3"/>
  <c r="AG514" i="3" l="1"/>
  <c r="E514" i="3"/>
  <c r="H514" i="3" s="1"/>
  <c r="D514" i="3"/>
  <c r="K514" i="3" l="1"/>
  <c r="AE514" i="3" s="1"/>
  <c r="F514" i="3"/>
  <c r="G514" i="3"/>
  <c r="V514" i="3" l="1"/>
  <c r="A515" i="3"/>
  <c r="B515" i="3" s="1"/>
  <c r="I514" i="3"/>
  <c r="J514" i="3"/>
  <c r="AD514" i="3" s="1"/>
  <c r="M514" i="3"/>
  <c r="N514" i="3" s="1"/>
  <c r="W514" i="3" l="1"/>
  <c r="L514" i="3"/>
  <c r="AD515" i="3"/>
  <c r="P515" i="3"/>
  <c r="Q515" i="3" s="1"/>
  <c r="R515" i="3" s="1"/>
  <c r="S515" i="3" s="1"/>
  <c r="AC515" i="3"/>
  <c r="Z515" i="3"/>
  <c r="AA515" i="3"/>
  <c r="U514" i="3" l="1"/>
  <c r="Y513" i="3"/>
  <c r="T515" i="3"/>
  <c r="D515" i="3" l="1"/>
  <c r="G515" i="3" s="1"/>
  <c r="AG515" i="3"/>
  <c r="AH515" i="3"/>
  <c r="E515" i="3"/>
  <c r="H515" i="3" s="1"/>
  <c r="K515" i="3" l="1"/>
  <c r="AE515" i="3" s="1"/>
  <c r="I515" i="3"/>
  <c r="J515" i="3"/>
  <c r="M515" i="3"/>
  <c r="N515" i="3" s="1"/>
  <c r="F515" i="3"/>
  <c r="L515" i="3" l="1"/>
  <c r="V515" i="3"/>
  <c r="W515" i="3" s="1"/>
  <c r="A516" i="3"/>
  <c r="B516" i="3" s="1"/>
  <c r="U515" i="3" l="1"/>
  <c r="Y514" i="3"/>
  <c r="AA516" i="3"/>
  <c r="Z516" i="3"/>
  <c r="AC516" i="3"/>
  <c r="P516" i="3"/>
  <c r="Q516" i="3" s="1"/>
  <c r="R516" i="3" s="1"/>
  <c r="S516" i="3" s="1"/>
  <c r="AD516" i="3"/>
  <c r="T516" i="3" l="1"/>
  <c r="AG516" i="3" s="1"/>
  <c r="D516" i="3" l="1"/>
  <c r="AH516" i="3"/>
  <c r="E516" i="3"/>
  <c r="H516" i="3" s="1"/>
  <c r="F516" i="3" l="1"/>
  <c r="G516" i="3"/>
  <c r="K516" i="3"/>
  <c r="AE516" i="3" s="1"/>
  <c r="I516" i="3" l="1"/>
  <c r="J516" i="3"/>
  <c r="M516" i="3"/>
  <c r="N516" i="3" s="1"/>
  <c r="V516" i="3"/>
  <c r="A517" i="3"/>
  <c r="B517" i="3" s="1"/>
  <c r="W516" i="3" l="1"/>
  <c r="L516" i="3"/>
  <c r="AC517" i="3"/>
  <c r="P517" i="3"/>
  <c r="Q517" i="3" s="1"/>
  <c r="R517" i="3" s="1"/>
  <c r="S517" i="3" s="1"/>
  <c r="AA517" i="3"/>
  <c r="Z517" i="3"/>
  <c r="U516" i="3" l="1"/>
  <c r="Y515" i="3"/>
  <c r="T517" i="3"/>
  <c r="AG517" i="3" s="1"/>
  <c r="D517" i="3" l="1"/>
  <c r="G517" i="3" s="1"/>
  <c r="AH517" i="3"/>
  <c r="E517" i="3"/>
  <c r="H517" i="3" s="1"/>
  <c r="K517" i="3" s="1"/>
  <c r="AE517" i="3" s="1"/>
  <c r="F517" i="3" l="1"/>
  <c r="I517" i="3"/>
  <c r="J517" i="3"/>
  <c r="AD517" i="3" s="1"/>
  <c r="M517" i="3"/>
  <c r="N517" i="3" s="1"/>
  <c r="V517" i="3"/>
  <c r="A518" i="3"/>
  <c r="B518" i="3" s="1"/>
  <c r="W517" i="3" l="1"/>
  <c r="L517" i="3"/>
  <c r="AD518" i="3"/>
  <c r="AA518" i="3"/>
  <c r="AC518" i="3"/>
  <c r="Z518" i="3"/>
  <c r="P518" i="3"/>
  <c r="Q518" i="3" s="1"/>
  <c r="R518" i="3" s="1"/>
  <c r="S518" i="3" s="1"/>
  <c r="U517" i="3" l="1"/>
  <c r="Y516" i="3"/>
  <c r="T518" i="3"/>
  <c r="D518" i="3" l="1"/>
  <c r="G518" i="3" s="1"/>
  <c r="E518" i="3"/>
  <c r="H518" i="3" s="1"/>
  <c r="AH518" i="3"/>
  <c r="AG518" i="3"/>
  <c r="F518" i="3" l="1"/>
  <c r="I518" i="3"/>
  <c r="J518" i="3"/>
  <c r="M518" i="3"/>
  <c r="N518" i="3" s="1"/>
  <c r="K518" i="3"/>
  <c r="AE518" i="3" s="1"/>
  <c r="V518" i="3" l="1"/>
  <c r="W518" i="3" s="1"/>
  <c r="A519" i="3"/>
  <c r="B519" i="3" s="1"/>
  <c r="L518" i="3"/>
  <c r="U518" i="3" l="1"/>
  <c r="Y517" i="3"/>
  <c r="AD519" i="3"/>
  <c r="AA519" i="3"/>
  <c r="Z519" i="3"/>
  <c r="AC519" i="3"/>
  <c r="P519" i="3"/>
  <c r="Q519" i="3" s="1"/>
  <c r="R519" i="3" s="1"/>
  <c r="S519" i="3" s="1"/>
  <c r="T519" i="3" l="1"/>
  <c r="D519" i="3" s="1"/>
  <c r="AG519" i="3" l="1"/>
  <c r="G519" i="3"/>
  <c r="AH519" i="3"/>
  <c r="E519" i="3"/>
  <c r="H519" i="3" s="1"/>
  <c r="F519" i="3" l="1"/>
  <c r="I519" i="3"/>
  <c r="J519" i="3"/>
  <c r="M519" i="3"/>
  <c r="N519" i="3" s="1"/>
  <c r="K519" i="3"/>
  <c r="AE519" i="3" s="1"/>
  <c r="V519" i="3" l="1"/>
  <c r="W519" i="3" s="1"/>
  <c r="A520" i="3"/>
  <c r="B520" i="3" s="1"/>
  <c r="L519" i="3"/>
  <c r="U519" i="3" l="1"/>
  <c r="Y518" i="3"/>
  <c r="AA520" i="3"/>
  <c r="AC520" i="3"/>
  <c r="Z520" i="3"/>
  <c r="AD520" i="3"/>
  <c r="P520" i="3"/>
  <c r="Q520" i="3" s="1"/>
  <c r="R520" i="3" s="1"/>
  <c r="S520" i="3" s="1"/>
  <c r="T520" i="3" l="1"/>
  <c r="D520" i="3" s="1"/>
  <c r="AG520" i="3" l="1"/>
  <c r="E520" i="3"/>
  <c r="H520" i="3" s="1"/>
  <c r="K520" i="3" s="1"/>
  <c r="AE520" i="3" s="1"/>
  <c r="AH520" i="3"/>
  <c r="G520" i="3"/>
  <c r="F520" i="3" l="1"/>
  <c r="I520" i="3"/>
  <c r="J520" i="3"/>
  <c r="M520" i="3"/>
  <c r="N520" i="3" s="1"/>
  <c r="V520" i="3"/>
  <c r="A521" i="3"/>
  <c r="B521" i="3" s="1"/>
  <c r="W520" i="3" l="1"/>
  <c r="L520" i="3"/>
  <c r="P521" i="3"/>
  <c r="Q521" i="3" s="1"/>
  <c r="R521" i="3" s="1"/>
  <c r="S521" i="3" s="1"/>
  <c r="AC521" i="3"/>
  <c r="AA521" i="3"/>
  <c r="Z521" i="3"/>
  <c r="U520" i="3" l="1"/>
  <c r="Y519" i="3"/>
  <c r="T521" i="3"/>
  <c r="AH521" i="3" s="1"/>
  <c r="AG521" i="3" l="1"/>
  <c r="D521" i="3"/>
  <c r="E521" i="3"/>
  <c r="H521" i="3" s="1"/>
  <c r="K521" i="3" s="1"/>
  <c r="AE521" i="3" s="1"/>
  <c r="F521" i="3" l="1"/>
  <c r="G521" i="3"/>
  <c r="I521" i="3" s="1"/>
  <c r="V521" i="3"/>
  <c r="A522" i="3"/>
  <c r="B522" i="3" s="1"/>
  <c r="M521" i="3" l="1"/>
  <c r="N521" i="3" s="1"/>
  <c r="J521" i="3"/>
  <c r="W521" i="3"/>
  <c r="AC522" i="3"/>
  <c r="P522" i="3"/>
  <c r="Q522" i="3" s="1"/>
  <c r="R522" i="3" s="1"/>
  <c r="S522" i="3" s="1"/>
  <c r="AA522" i="3"/>
  <c r="AD522" i="3"/>
  <c r="Z522" i="3"/>
  <c r="L521" i="3" l="1"/>
  <c r="U521" i="3" s="1"/>
  <c r="AD521" i="3"/>
  <c r="T522" i="3"/>
  <c r="Y520" i="3" l="1"/>
  <c r="AG522" i="3"/>
  <c r="AH522" i="3"/>
  <c r="E522" i="3"/>
  <c r="H522" i="3" s="1"/>
  <c r="D522" i="3"/>
  <c r="K522" i="3" l="1"/>
  <c r="AE522" i="3" s="1"/>
  <c r="F522" i="3"/>
  <c r="G522" i="3"/>
  <c r="I522" i="3" l="1"/>
  <c r="J522" i="3"/>
  <c r="M522" i="3"/>
  <c r="N522" i="3" s="1"/>
  <c r="V522" i="3"/>
  <c r="A523" i="3"/>
  <c r="B523" i="3" s="1"/>
  <c r="W522" i="3" l="1"/>
  <c r="L522" i="3"/>
  <c r="AC523" i="3"/>
  <c r="Z523" i="3"/>
  <c r="AD523" i="3"/>
  <c r="AA523" i="3"/>
  <c r="P523" i="3"/>
  <c r="Q523" i="3" s="1"/>
  <c r="R523" i="3" s="1"/>
  <c r="S523" i="3" s="1"/>
  <c r="U522" i="3" l="1"/>
  <c r="Y521" i="3"/>
  <c r="T523" i="3"/>
  <c r="AG523" i="3" s="1"/>
  <c r="AH523" i="3" l="1"/>
  <c r="D523" i="3"/>
  <c r="G523" i="3" s="1"/>
  <c r="E523" i="3"/>
  <c r="H523" i="3" s="1"/>
  <c r="F523" i="3" l="1"/>
  <c r="I523" i="3"/>
  <c r="J523" i="3"/>
  <c r="M523" i="3"/>
  <c r="N523" i="3" s="1"/>
  <c r="K523" i="3"/>
  <c r="AE523" i="3" s="1"/>
  <c r="V523" i="3" l="1"/>
  <c r="W523" i="3" s="1"/>
  <c r="A524" i="3"/>
  <c r="B524" i="3" s="1"/>
  <c r="L523" i="3"/>
  <c r="U523" i="3" l="1"/>
  <c r="Y522" i="3"/>
  <c r="Z524" i="3"/>
  <c r="P524" i="3"/>
  <c r="Q524" i="3" s="1"/>
  <c r="R524" i="3" s="1"/>
  <c r="S524" i="3" s="1"/>
  <c r="AC524" i="3"/>
  <c r="AA524" i="3"/>
  <c r="T524" i="3" l="1"/>
  <c r="E524" i="3" s="1"/>
  <c r="H524" i="3" s="1"/>
  <c r="D524" i="3" l="1"/>
  <c r="G524" i="3" s="1"/>
  <c r="K524" i="3"/>
  <c r="AE524" i="3" s="1"/>
  <c r="AH524" i="3"/>
  <c r="AG524" i="3"/>
  <c r="F524" i="3" l="1"/>
  <c r="I524" i="3"/>
  <c r="J524" i="3"/>
  <c r="AD524" i="3" s="1"/>
  <c r="M524" i="3"/>
  <c r="N524" i="3" s="1"/>
  <c r="V524" i="3"/>
  <c r="A525" i="3"/>
  <c r="B525" i="3" s="1"/>
  <c r="W524" i="3" l="1"/>
  <c r="L524" i="3"/>
  <c r="AA525" i="3"/>
  <c r="AC525" i="3"/>
  <c r="AD525" i="3"/>
  <c r="Z525" i="3"/>
  <c r="P525" i="3"/>
  <c r="Q525" i="3" s="1"/>
  <c r="R525" i="3" s="1"/>
  <c r="S525" i="3" s="1"/>
  <c r="T525" i="3" l="1"/>
  <c r="AH525" i="3" s="1"/>
  <c r="U524" i="3"/>
  <c r="Y523" i="3"/>
  <c r="AG525" i="3" l="1"/>
  <c r="D525" i="3"/>
  <c r="E525" i="3"/>
  <c r="H525" i="3" s="1"/>
  <c r="F525" i="3" l="1"/>
  <c r="G525" i="3"/>
  <c r="K525" i="3"/>
  <c r="AE525" i="3" s="1"/>
  <c r="I525" i="3" l="1"/>
  <c r="J525" i="3"/>
  <c r="M525" i="3"/>
  <c r="N525" i="3" s="1"/>
  <c r="V525" i="3"/>
  <c r="A526" i="3"/>
  <c r="B526" i="3" s="1"/>
  <c r="L525" i="3" l="1"/>
  <c r="W525" i="3"/>
  <c r="AA526" i="3"/>
  <c r="P526" i="3"/>
  <c r="Q526" i="3" s="1"/>
  <c r="R526" i="3" s="1"/>
  <c r="S526" i="3" s="1"/>
  <c r="Z526" i="3"/>
  <c r="AD526" i="3"/>
  <c r="AC526" i="3"/>
  <c r="T526" i="3" l="1"/>
  <c r="U525" i="3"/>
  <c r="Y524" i="3"/>
  <c r="D526" i="3" l="1"/>
  <c r="G526" i="3" s="1"/>
  <c r="AH526" i="3"/>
  <c r="E526" i="3"/>
  <c r="H526" i="3" s="1"/>
  <c r="K526" i="3" s="1"/>
  <c r="AE526" i="3" s="1"/>
  <c r="AG526" i="3"/>
  <c r="F526" i="3" l="1"/>
  <c r="V526" i="3"/>
  <c r="A527" i="3"/>
  <c r="B527" i="3" s="1"/>
  <c r="I526" i="3"/>
  <c r="J526" i="3"/>
  <c r="M526" i="3"/>
  <c r="N526" i="3" s="1"/>
  <c r="W526" i="3" l="1"/>
  <c r="L526" i="3"/>
  <c r="Z527" i="3"/>
  <c r="AC527" i="3"/>
  <c r="P527" i="3"/>
  <c r="Q527" i="3" s="1"/>
  <c r="R527" i="3" s="1"/>
  <c r="S527" i="3" s="1"/>
  <c r="AA527" i="3"/>
  <c r="U526" i="3" l="1"/>
  <c r="Y525" i="3"/>
  <c r="T527" i="3"/>
  <c r="D527" i="3" l="1"/>
  <c r="G527" i="3" s="1"/>
  <c r="E527" i="3"/>
  <c r="H527" i="3" s="1"/>
  <c r="AG527" i="3"/>
  <c r="AH527" i="3"/>
  <c r="F527" i="3" l="1"/>
  <c r="I527" i="3"/>
  <c r="J527" i="3"/>
  <c r="AD527" i="3" s="1"/>
  <c r="M527" i="3"/>
  <c r="N527" i="3" s="1"/>
  <c r="K527" i="3"/>
  <c r="AE527" i="3" s="1"/>
  <c r="V527" i="3" l="1"/>
  <c r="W527" i="3" s="1"/>
  <c r="A528" i="3"/>
  <c r="B528" i="3" s="1"/>
  <c r="L527" i="3"/>
  <c r="U527" i="3" l="1"/>
  <c r="Y526" i="3"/>
  <c r="Z528" i="3"/>
  <c r="P528" i="3"/>
  <c r="Q528" i="3" s="1"/>
  <c r="R528" i="3" s="1"/>
  <c r="S528" i="3" s="1"/>
  <c r="AC528" i="3"/>
  <c r="AD528" i="3"/>
  <c r="AA528" i="3"/>
  <c r="T528" i="3" l="1"/>
  <c r="AH528" i="3" s="1"/>
  <c r="D528" i="3" l="1"/>
  <c r="E528" i="3"/>
  <c r="H528" i="3" s="1"/>
  <c r="K528" i="3" s="1"/>
  <c r="AE528" i="3" s="1"/>
  <c r="AG528" i="3"/>
  <c r="F528" i="3" l="1"/>
  <c r="G528" i="3"/>
  <c r="M528" i="3" s="1"/>
  <c r="N528" i="3" s="1"/>
  <c r="V528" i="3"/>
  <c r="A529" i="3"/>
  <c r="B529" i="3" s="1"/>
  <c r="I528" i="3" l="1"/>
  <c r="W528" i="3" s="1"/>
  <c r="J528" i="3"/>
  <c r="L528" i="3" s="1"/>
  <c r="Z529" i="3"/>
  <c r="AC529" i="3"/>
  <c r="AD529" i="3"/>
  <c r="P529" i="3"/>
  <c r="Q529" i="3" s="1"/>
  <c r="R529" i="3" s="1"/>
  <c r="S529" i="3" s="1"/>
  <c r="AA529" i="3"/>
  <c r="U528" i="3" l="1"/>
  <c r="Y527" i="3"/>
  <c r="T529" i="3"/>
  <c r="AG529" i="3" s="1"/>
  <c r="D529" i="3" l="1"/>
  <c r="G529" i="3" s="1"/>
  <c r="AH529" i="3"/>
  <c r="E529" i="3"/>
  <c r="H529" i="3" s="1"/>
  <c r="K529" i="3" s="1"/>
  <c r="AE529" i="3" s="1"/>
  <c r="F529" i="3" l="1"/>
  <c r="I529" i="3"/>
  <c r="J529" i="3"/>
  <c r="M529" i="3"/>
  <c r="N529" i="3" s="1"/>
  <c r="V529" i="3"/>
  <c r="A530" i="3"/>
  <c r="B530" i="3" s="1"/>
  <c r="W529" i="3" l="1"/>
  <c r="L529" i="3"/>
  <c r="Z530" i="3"/>
  <c r="AD530" i="3"/>
  <c r="P530" i="3"/>
  <c r="Q530" i="3" s="1"/>
  <c r="R530" i="3" s="1"/>
  <c r="S530" i="3" s="1"/>
  <c r="AC530" i="3"/>
  <c r="AA530" i="3"/>
  <c r="T530" i="3" l="1"/>
  <c r="AG530" i="3" s="1"/>
  <c r="U529" i="3"/>
  <c r="Y528" i="3"/>
  <c r="D530" i="3" l="1"/>
  <c r="G530" i="3" s="1"/>
  <c r="AH530" i="3"/>
  <c r="E530" i="3"/>
  <c r="H530" i="3" s="1"/>
  <c r="F530" i="3" l="1"/>
  <c r="I530" i="3"/>
  <c r="J530" i="3"/>
  <c r="M530" i="3"/>
  <c r="N530" i="3" s="1"/>
  <c r="K530" i="3"/>
  <c r="AE530" i="3" s="1"/>
  <c r="V530" i="3" l="1"/>
  <c r="W530" i="3" s="1"/>
  <c r="A531" i="3"/>
  <c r="B531" i="3" s="1"/>
  <c r="L530" i="3"/>
  <c r="U530" i="3" l="1"/>
  <c r="Y529" i="3"/>
  <c r="Z531" i="3"/>
  <c r="AC531" i="3"/>
  <c r="AA531" i="3"/>
  <c r="P531" i="3"/>
  <c r="Q531" i="3" s="1"/>
  <c r="R531" i="3" s="1"/>
  <c r="S531" i="3" s="1"/>
  <c r="T531" i="3" l="1"/>
  <c r="AG531" i="3" s="1"/>
  <c r="AH531" i="3" l="1"/>
  <c r="D531" i="3"/>
  <c r="E531" i="3"/>
  <c r="H531" i="3" s="1"/>
  <c r="K531" i="3" l="1"/>
  <c r="AE531" i="3" s="1"/>
  <c r="F531" i="3"/>
  <c r="G531" i="3"/>
  <c r="I531" i="3" l="1"/>
  <c r="J531" i="3"/>
  <c r="AD531" i="3" s="1"/>
  <c r="M531" i="3"/>
  <c r="N531" i="3" s="1"/>
  <c r="V531" i="3"/>
  <c r="A532" i="3"/>
  <c r="B532" i="3" s="1"/>
  <c r="W531" i="3" l="1"/>
  <c r="L531" i="3"/>
  <c r="AD532" i="3"/>
  <c r="AC532" i="3"/>
  <c r="Z532" i="3"/>
  <c r="P532" i="3"/>
  <c r="Q532" i="3" s="1"/>
  <c r="R532" i="3" s="1"/>
  <c r="S532" i="3" s="1"/>
  <c r="AA532" i="3"/>
  <c r="U531" i="3" l="1"/>
  <c r="Y530" i="3"/>
  <c r="T532" i="3"/>
  <c r="AH532" i="3" s="1"/>
  <c r="D532" i="3" l="1"/>
  <c r="G532" i="3" s="1"/>
  <c r="AG532" i="3"/>
  <c r="E532" i="3"/>
  <c r="H532" i="3" s="1"/>
  <c r="K532" i="3" s="1"/>
  <c r="AE532" i="3" s="1"/>
  <c r="F532" i="3" l="1"/>
  <c r="V532" i="3"/>
  <c r="A533" i="3"/>
  <c r="B533" i="3" s="1"/>
  <c r="I532" i="3"/>
  <c r="J532" i="3"/>
  <c r="M532" i="3"/>
  <c r="N532" i="3" s="1"/>
  <c r="W532" i="3" l="1"/>
  <c r="L532" i="3"/>
  <c r="P533" i="3"/>
  <c r="Q533" i="3" s="1"/>
  <c r="R533" i="3" s="1"/>
  <c r="S533" i="3" s="1"/>
  <c r="AD533" i="3"/>
  <c r="AA533" i="3"/>
  <c r="Z533" i="3"/>
  <c r="AC533" i="3"/>
  <c r="T533" i="3" l="1"/>
  <c r="U532" i="3"/>
  <c r="Y531" i="3"/>
  <c r="E533" i="3" l="1"/>
  <c r="H533" i="3" s="1"/>
  <c r="K533" i="3" s="1"/>
  <c r="AE533" i="3" s="1"/>
  <c r="AH533" i="3"/>
  <c r="AG533" i="3"/>
  <c r="D533" i="3"/>
  <c r="F533" i="3" l="1"/>
  <c r="G533" i="3"/>
  <c r="V533" i="3"/>
  <c r="A534" i="3"/>
  <c r="B534" i="3" s="1"/>
  <c r="Z534" i="3" l="1"/>
  <c r="AC534" i="3"/>
  <c r="AA534" i="3"/>
  <c r="P534" i="3"/>
  <c r="Q534" i="3" s="1"/>
  <c r="R534" i="3" s="1"/>
  <c r="S534" i="3" s="1"/>
  <c r="I533" i="3"/>
  <c r="W533" i="3" s="1"/>
  <c r="J533" i="3"/>
  <c r="M533" i="3"/>
  <c r="N533" i="3" s="1"/>
  <c r="L533" i="3" l="1"/>
  <c r="T534" i="3"/>
  <c r="U533" i="3" l="1"/>
  <c r="D534" i="3" s="1"/>
  <c r="AG534" i="3"/>
  <c r="AH534" i="3"/>
  <c r="Y532" i="3"/>
  <c r="E534" i="3" l="1"/>
  <c r="H534" i="3" s="1"/>
  <c r="K534" i="3" s="1"/>
  <c r="AE534" i="3" s="1"/>
  <c r="G534" i="3"/>
  <c r="F534" i="3" l="1"/>
  <c r="V534" i="3"/>
  <c r="A535" i="3"/>
  <c r="B535" i="3" s="1"/>
  <c r="I534" i="3"/>
  <c r="J534" i="3"/>
  <c r="AD534" i="3" s="1"/>
  <c r="M534" i="3"/>
  <c r="N534" i="3" s="1"/>
  <c r="W534" i="3" l="1"/>
  <c r="L534" i="3"/>
  <c r="AA535" i="3"/>
  <c r="AC535" i="3"/>
  <c r="AD535" i="3"/>
  <c r="Z535" i="3"/>
  <c r="P535" i="3"/>
  <c r="Q535" i="3" s="1"/>
  <c r="R535" i="3" s="1"/>
  <c r="S535" i="3" s="1"/>
  <c r="T535" i="3" l="1"/>
  <c r="U534" i="3"/>
  <c r="Y533" i="3"/>
  <c r="D535" i="3" l="1"/>
  <c r="G535" i="3" s="1"/>
  <c r="E535" i="3"/>
  <c r="H535" i="3" s="1"/>
  <c r="K535" i="3" s="1"/>
  <c r="AE535" i="3" s="1"/>
  <c r="AG535" i="3"/>
  <c r="AH535" i="3"/>
  <c r="F535" i="3" l="1"/>
  <c r="V535" i="3"/>
  <c r="A536" i="3"/>
  <c r="B536" i="3" s="1"/>
  <c r="I535" i="3"/>
  <c r="J535" i="3"/>
  <c r="M535" i="3"/>
  <c r="N535" i="3" s="1"/>
  <c r="W535" i="3" l="1"/>
  <c r="L535" i="3"/>
  <c r="AC536" i="3"/>
  <c r="AA536" i="3"/>
  <c r="Z536" i="3"/>
  <c r="P536" i="3"/>
  <c r="Q536" i="3" s="1"/>
  <c r="R536" i="3" s="1"/>
  <c r="S536" i="3" s="1"/>
  <c r="AD536" i="3"/>
  <c r="U535" i="3" l="1"/>
  <c r="Y534" i="3"/>
  <c r="T536" i="3"/>
  <c r="AH536" i="3" s="1"/>
  <c r="AG536" i="3" l="1"/>
  <c r="E536" i="3"/>
  <c r="H536" i="3" s="1"/>
  <c r="D536" i="3"/>
  <c r="K536" i="3" l="1"/>
  <c r="AE536" i="3" s="1"/>
  <c r="F536" i="3"/>
  <c r="G536" i="3"/>
  <c r="I536" i="3" l="1"/>
  <c r="J536" i="3"/>
  <c r="M536" i="3"/>
  <c r="N536" i="3" s="1"/>
  <c r="V536" i="3"/>
  <c r="A537" i="3"/>
  <c r="B537" i="3" s="1"/>
  <c r="W536" i="3" l="1"/>
  <c r="L536" i="3"/>
  <c r="AC537" i="3"/>
  <c r="P537" i="3"/>
  <c r="Q537" i="3" s="1"/>
  <c r="R537" i="3" s="1"/>
  <c r="S537" i="3" s="1"/>
  <c r="Z537" i="3"/>
  <c r="AA537" i="3"/>
  <c r="U536" i="3" l="1"/>
  <c r="Y535" i="3"/>
  <c r="T537" i="3"/>
  <c r="AH537" i="3" s="1"/>
  <c r="AG537" i="3" l="1"/>
  <c r="E537" i="3"/>
  <c r="H537" i="3" s="1"/>
  <c r="D537" i="3"/>
  <c r="K537" i="3" l="1"/>
  <c r="AE537" i="3" s="1"/>
  <c r="F537" i="3"/>
  <c r="G537" i="3"/>
  <c r="I537" i="3" l="1"/>
  <c r="J537" i="3"/>
  <c r="AD537" i="3" s="1"/>
  <c r="M537" i="3"/>
  <c r="N537" i="3" s="1"/>
  <c r="V537" i="3"/>
  <c r="A538" i="3"/>
  <c r="B538" i="3" s="1"/>
  <c r="W537" i="3" l="1"/>
  <c r="L537" i="3"/>
  <c r="AA538" i="3"/>
  <c r="AC538" i="3"/>
  <c r="AD538" i="3"/>
  <c r="Z538" i="3"/>
  <c r="P538" i="3"/>
  <c r="Q538" i="3" s="1"/>
  <c r="R538" i="3" s="1"/>
  <c r="S538" i="3" s="1"/>
  <c r="T538" i="3" l="1"/>
  <c r="U537" i="3"/>
  <c r="Y536" i="3"/>
  <c r="D538" i="3" l="1"/>
  <c r="G538" i="3" s="1"/>
  <c r="AH538" i="3"/>
  <c r="AG538" i="3"/>
  <c r="E538" i="3"/>
  <c r="H538" i="3" s="1"/>
  <c r="F538" i="3" l="1"/>
  <c r="I538" i="3"/>
  <c r="J538" i="3"/>
  <c r="M538" i="3"/>
  <c r="N538" i="3" s="1"/>
  <c r="K538" i="3"/>
  <c r="AE538" i="3" s="1"/>
  <c r="V538" i="3" l="1"/>
  <c r="W538" i="3" s="1"/>
  <c r="A539" i="3"/>
  <c r="B539" i="3" s="1"/>
  <c r="L538" i="3"/>
  <c r="U538" i="3" l="1"/>
  <c r="Y537" i="3"/>
  <c r="Z539" i="3"/>
  <c r="P539" i="3"/>
  <c r="Q539" i="3" s="1"/>
  <c r="R539" i="3" s="1"/>
  <c r="S539" i="3" s="1"/>
  <c r="AD539" i="3"/>
  <c r="AA539" i="3"/>
  <c r="AC539" i="3"/>
  <c r="T539" i="3" l="1"/>
  <c r="AH539" i="3" s="1"/>
  <c r="AG539" i="3" l="1"/>
  <c r="E539" i="3"/>
  <c r="H539" i="3" s="1"/>
  <c r="K539" i="3" s="1"/>
  <c r="AE539" i="3" s="1"/>
  <c r="D539" i="3"/>
  <c r="G539" i="3" s="1"/>
  <c r="F539" i="3" l="1"/>
  <c r="V539" i="3"/>
  <c r="A540" i="3"/>
  <c r="B540" i="3" s="1"/>
  <c r="I539" i="3"/>
  <c r="J539" i="3"/>
  <c r="M539" i="3"/>
  <c r="N539" i="3" s="1"/>
  <c r="W539" i="3" l="1"/>
  <c r="L539" i="3"/>
  <c r="AA540" i="3"/>
  <c r="AC540" i="3"/>
  <c r="Z540" i="3"/>
  <c r="AD540" i="3"/>
  <c r="P540" i="3"/>
  <c r="Q540" i="3" s="1"/>
  <c r="R540" i="3" s="1"/>
  <c r="S540" i="3" s="1"/>
  <c r="U539" i="3" l="1"/>
  <c r="Y538" i="3"/>
  <c r="T540" i="3"/>
  <c r="AG540" i="3" s="1"/>
  <c r="E540" i="3" l="1"/>
  <c r="H540" i="3" s="1"/>
  <c r="D540" i="3"/>
  <c r="AH540" i="3"/>
  <c r="K540" i="3" l="1"/>
  <c r="AE540" i="3" s="1"/>
  <c r="F540" i="3"/>
  <c r="G540" i="3"/>
  <c r="V540" i="3" l="1"/>
  <c r="A541" i="3"/>
  <c r="B541" i="3" s="1"/>
  <c r="I540" i="3"/>
  <c r="J540" i="3"/>
  <c r="M540" i="3"/>
  <c r="N540" i="3" s="1"/>
  <c r="W540" i="3" l="1"/>
  <c r="L540" i="3"/>
  <c r="P541" i="3"/>
  <c r="Q541" i="3" s="1"/>
  <c r="R541" i="3" s="1"/>
  <c r="S541" i="3" s="1"/>
  <c r="AA541" i="3"/>
  <c r="Z541" i="3"/>
  <c r="AC541" i="3"/>
  <c r="U540" i="3" l="1"/>
  <c r="Y539" i="3"/>
  <c r="T541" i="3"/>
  <c r="AG541" i="3" s="1"/>
  <c r="AH541" i="3" l="1"/>
  <c r="E541" i="3"/>
  <c r="H541" i="3" s="1"/>
  <c r="D541" i="3"/>
  <c r="K541" i="3" l="1"/>
  <c r="AE541" i="3" s="1"/>
  <c r="F541" i="3"/>
  <c r="G541" i="3"/>
  <c r="I541" i="3" l="1"/>
  <c r="J541" i="3"/>
  <c r="AD541" i="3" s="1"/>
  <c r="M541" i="3"/>
  <c r="N541" i="3" s="1"/>
  <c r="V541" i="3"/>
  <c r="A542" i="3"/>
  <c r="B542" i="3" s="1"/>
  <c r="W541" i="3" l="1"/>
  <c r="L541" i="3"/>
  <c r="AC542" i="3"/>
  <c r="P542" i="3"/>
  <c r="Q542" i="3" s="1"/>
  <c r="R542" i="3" s="1"/>
  <c r="S542" i="3" s="1"/>
  <c r="AA542" i="3"/>
  <c r="Z542" i="3"/>
  <c r="AD542" i="3"/>
  <c r="T542" i="3" l="1"/>
  <c r="AH542" i="3" s="1"/>
  <c r="U541" i="3"/>
  <c r="Y540" i="3"/>
  <c r="E542" i="3" l="1"/>
  <c r="H542" i="3" s="1"/>
  <c r="K542" i="3" s="1"/>
  <c r="AE542" i="3" s="1"/>
  <c r="AG542" i="3"/>
  <c r="D542" i="3"/>
  <c r="F542" i="3" l="1"/>
  <c r="G542" i="3"/>
  <c r="V542" i="3"/>
  <c r="A543" i="3"/>
  <c r="B543" i="3" s="1"/>
  <c r="P543" i="3" l="1"/>
  <c r="Q543" i="3" s="1"/>
  <c r="R543" i="3" s="1"/>
  <c r="S543" i="3" s="1"/>
  <c r="AD543" i="3"/>
  <c r="Z543" i="3"/>
  <c r="AA543" i="3"/>
  <c r="AC543" i="3"/>
  <c r="I542" i="3"/>
  <c r="W542" i="3" s="1"/>
  <c r="J542" i="3"/>
  <c r="M542" i="3"/>
  <c r="N542" i="3" s="1"/>
  <c r="T543" i="3" l="1"/>
  <c r="L542" i="3"/>
  <c r="AH543" i="3" l="1"/>
  <c r="U542" i="3"/>
  <c r="E543" i="3" s="1"/>
  <c r="H543" i="3" s="1"/>
  <c r="AG543" i="3"/>
  <c r="Y541" i="3"/>
  <c r="D543" i="3" l="1"/>
  <c r="G543" i="3" s="1"/>
  <c r="K543" i="3"/>
  <c r="AE543" i="3" s="1"/>
  <c r="F543" i="3" l="1"/>
  <c r="I543" i="3"/>
  <c r="J543" i="3"/>
  <c r="M543" i="3"/>
  <c r="N543" i="3" s="1"/>
  <c r="V543" i="3"/>
  <c r="A544" i="3"/>
  <c r="B544" i="3" s="1"/>
  <c r="W543" i="3" l="1"/>
  <c r="L543" i="3"/>
  <c r="P544" i="3"/>
  <c r="Q544" i="3" s="1"/>
  <c r="R544" i="3" s="1"/>
  <c r="S544" i="3" s="1"/>
  <c r="Z544" i="3"/>
  <c r="AC544" i="3"/>
  <c r="AA544" i="3"/>
  <c r="U543" i="3" l="1"/>
  <c r="Y542" i="3"/>
  <c r="T544" i="3"/>
  <c r="AG544" i="3" s="1"/>
  <c r="E544" i="3" l="1"/>
  <c r="H544" i="3" s="1"/>
  <c r="D544" i="3"/>
  <c r="AH544" i="3"/>
  <c r="K544" i="3" l="1"/>
  <c r="AE544" i="3" s="1"/>
  <c r="F544" i="3"/>
  <c r="G544" i="3"/>
  <c r="I544" i="3" l="1"/>
  <c r="J544" i="3"/>
  <c r="AD544" i="3" s="1"/>
  <c r="M544" i="3"/>
  <c r="N544" i="3" s="1"/>
  <c r="V544" i="3"/>
  <c r="A545" i="3"/>
  <c r="B545" i="3" s="1"/>
  <c r="W544" i="3" l="1"/>
  <c r="L544" i="3"/>
  <c r="Z545" i="3"/>
  <c r="AA545" i="3"/>
  <c r="AD545" i="3"/>
  <c r="AC545" i="3"/>
  <c r="P545" i="3"/>
  <c r="Q545" i="3" s="1"/>
  <c r="R545" i="3" s="1"/>
  <c r="S545" i="3" s="1"/>
  <c r="U544" i="3" l="1"/>
  <c r="Y543" i="3"/>
  <c r="T545" i="3"/>
  <c r="AH545" i="3" s="1"/>
  <c r="E545" i="3" l="1"/>
  <c r="H545" i="3" s="1"/>
  <c r="K545" i="3" s="1"/>
  <c r="AE545" i="3" s="1"/>
  <c r="D545" i="3"/>
  <c r="AG545" i="3"/>
  <c r="V545" i="3" l="1"/>
  <c r="A546" i="3"/>
  <c r="B546" i="3" s="1"/>
  <c r="F545" i="3"/>
  <c r="G545" i="3"/>
  <c r="I545" i="3" l="1"/>
  <c r="W545" i="3" s="1"/>
  <c r="J545" i="3"/>
  <c r="M545" i="3"/>
  <c r="N545" i="3" s="1"/>
  <c r="AC546" i="3"/>
  <c r="P546" i="3"/>
  <c r="Q546" i="3" s="1"/>
  <c r="R546" i="3" s="1"/>
  <c r="S546" i="3" s="1"/>
  <c r="Z546" i="3"/>
  <c r="AA546" i="3"/>
  <c r="AD546" i="3"/>
  <c r="T546" i="3" l="1"/>
  <c r="L545" i="3"/>
  <c r="U545" i="3" l="1"/>
  <c r="D546" i="3" s="1"/>
  <c r="AG546" i="3"/>
  <c r="AH546" i="3"/>
  <c r="Y544" i="3"/>
  <c r="E546" i="3" l="1"/>
  <c r="H546" i="3" s="1"/>
  <c r="K546" i="3" s="1"/>
  <c r="AE546" i="3" s="1"/>
  <c r="G546" i="3"/>
  <c r="F546" i="3" l="1"/>
  <c r="V546" i="3"/>
  <c r="A547" i="3"/>
  <c r="B547" i="3" s="1"/>
  <c r="I546" i="3"/>
  <c r="J546" i="3"/>
  <c r="M546" i="3"/>
  <c r="N546" i="3" s="1"/>
  <c r="W546" i="3" l="1"/>
  <c r="L546" i="3"/>
  <c r="AC547" i="3"/>
  <c r="P547" i="3"/>
  <c r="Q547" i="3" s="1"/>
  <c r="R547" i="3" s="1"/>
  <c r="S547" i="3" s="1"/>
  <c r="AA547" i="3"/>
  <c r="Z547" i="3"/>
  <c r="U546" i="3" l="1"/>
  <c r="Y545" i="3"/>
  <c r="T547" i="3"/>
  <c r="AG547" i="3" s="1"/>
  <c r="E547" i="3" l="1"/>
  <c r="H547" i="3" s="1"/>
  <c r="K547" i="3" s="1"/>
  <c r="AE547" i="3" s="1"/>
  <c r="D547" i="3"/>
  <c r="G547" i="3" s="1"/>
  <c r="AH547" i="3"/>
  <c r="F547" i="3" l="1"/>
  <c r="I547" i="3"/>
  <c r="J547" i="3"/>
  <c r="AD547" i="3" s="1"/>
  <c r="M547" i="3"/>
  <c r="N547" i="3" s="1"/>
  <c r="V547" i="3"/>
  <c r="A548" i="3"/>
  <c r="B548" i="3" s="1"/>
  <c r="W547" i="3" l="1"/>
  <c r="L547" i="3"/>
  <c r="Z548" i="3"/>
  <c r="AA548" i="3"/>
  <c r="P548" i="3"/>
  <c r="Q548" i="3" s="1"/>
  <c r="R548" i="3" s="1"/>
  <c r="S548" i="3" s="1"/>
  <c r="AC548" i="3"/>
  <c r="AD548" i="3"/>
  <c r="U547" i="3" l="1"/>
  <c r="Y546" i="3"/>
  <c r="T548" i="3"/>
  <c r="E548" i="3" l="1"/>
  <c r="H548" i="3" s="1"/>
  <c r="K548" i="3" s="1"/>
  <c r="AE548" i="3" s="1"/>
  <c r="D548" i="3"/>
  <c r="AG548" i="3"/>
  <c r="AH548" i="3"/>
  <c r="V548" i="3" l="1"/>
  <c r="A549" i="3"/>
  <c r="B549" i="3" s="1"/>
  <c r="F548" i="3"/>
  <c r="G548" i="3"/>
  <c r="I548" i="3" l="1"/>
  <c r="W548" i="3" s="1"/>
  <c r="J548" i="3"/>
  <c r="M548" i="3"/>
  <c r="N548" i="3" s="1"/>
  <c r="P549" i="3"/>
  <c r="Q549" i="3" s="1"/>
  <c r="R549" i="3" s="1"/>
  <c r="S549" i="3" s="1"/>
  <c r="AC549" i="3"/>
  <c r="AA549" i="3"/>
  <c r="Z549" i="3"/>
  <c r="AD549" i="3"/>
  <c r="T549" i="3" l="1"/>
  <c r="L548" i="3"/>
  <c r="AH549" i="3" l="1"/>
  <c r="U548" i="3"/>
  <c r="E549" i="3" s="1"/>
  <c r="H549" i="3" s="1"/>
  <c r="AG549" i="3"/>
  <c r="Y547" i="3"/>
  <c r="K549" i="3" l="1"/>
  <c r="AE549" i="3" s="1"/>
  <c r="D549" i="3"/>
  <c r="V549" i="3" l="1"/>
  <c r="A550" i="3"/>
  <c r="B550" i="3" s="1"/>
  <c r="F549" i="3"/>
  <c r="G549" i="3"/>
  <c r="I549" i="3" l="1"/>
  <c r="W549" i="3" s="1"/>
  <c r="J549" i="3"/>
  <c r="M549" i="3"/>
  <c r="N549" i="3" s="1"/>
  <c r="P550" i="3"/>
  <c r="Q550" i="3" s="1"/>
  <c r="R550" i="3" s="1"/>
  <c r="S550" i="3" s="1"/>
  <c r="AA550" i="3"/>
  <c r="AC550" i="3"/>
  <c r="Z550" i="3"/>
  <c r="AD550" i="3"/>
  <c r="T550" i="3" l="1"/>
  <c r="L549" i="3"/>
  <c r="U549" i="3" l="1"/>
  <c r="D550" i="3" s="1"/>
  <c r="AH550" i="3"/>
  <c r="AG550" i="3"/>
  <c r="Y548" i="3"/>
  <c r="E550" i="3" l="1"/>
  <c r="H550" i="3" s="1"/>
  <c r="K550" i="3" s="1"/>
  <c r="AE550" i="3" s="1"/>
  <c r="G550" i="3"/>
  <c r="F550" i="3" l="1"/>
  <c r="I550" i="3"/>
  <c r="J550" i="3"/>
  <c r="M550" i="3"/>
  <c r="N550" i="3" s="1"/>
  <c r="V550" i="3"/>
  <c r="A551" i="3"/>
  <c r="B551" i="3" s="1"/>
  <c r="W550" i="3" l="1"/>
  <c r="L550" i="3"/>
  <c r="P551" i="3"/>
  <c r="Q551" i="3" s="1"/>
  <c r="R551" i="3" s="1"/>
  <c r="S551" i="3" s="1"/>
  <c r="AC551" i="3"/>
  <c r="AA551" i="3"/>
  <c r="Z551" i="3"/>
  <c r="T551" i="3" l="1"/>
  <c r="AG551" i="3" s="1"/>
  <c r="U550" i="3"/>
  <c r="Y549" i="3"/>
  <c r="D551" i="3" l="1"/>
  <c r="G551" i="3" s="1"/>
  <c r="AH551" i="3"/>
  <c r="E551" i="3"/>
  <c r="H551" i="3" s="1"/>
  <c r="F551" i="3" l="1"/>
  <c r="I551" i="3"/>
  <c r="J551" i="3"/>
  <c r="AD551" i="3" s="1"/>
  <c r="M551" i="3"/>
  <c r="N551" i="3" s="1"/>
  <c r="K551" i="3"/>
  <c r="AE551" i="3" s="1"/>
  <c r="V551" i="3" l="1"/>
  <c r="W551" i="3" s="1"/>
  <c r="A552" i="3"/>
  <c r="B552" i="3" s="1"/>
  <c r="L551" i="3"/>
  <c r="U551" i="3" l="1"/>
  <c r="Y550" i="3"/>
  <c r="AA552" i="3"/>
  <c r="P552" i="3"/>
  <c r="Q552" i="3" s="1"/>
  <c r="R552" i="3" s="1"/>
  <c r="S552" i="3" s="1"/>
  <c r="AC552" i="3"/>
  <c r="Z552" i="3"/>
  <c r="AD552" i="3"/>
  <c r="T552" i="3" l="1"/>
  <c r="D552" i="3" s="1"/>
  <c r="AG552" i="3" l="1"/>
  <c r="AH552" i="3"/>
  <c r="E552" i="3"/>
  <c r="H552" i="3" s="1"/>
  <c r="K552" i="3" s="1"/>
  <c r="AE552" i="3" s="1"/>
  <c r="G552" i="3"/>
  <c r="F552" i="3" l="1"/>
  <c r="I552" i="3"/>
  <c r="J552" i="3"/>
  <c r="M552" i="3"/>
  <c r="N552" i="3" s="1"/>
  <c r="V552" i="3"/>
  <c r="A553" i="3"/>
  <c r="B553" i="3" s="1"/>
  <c r="W552" i="3" l="1"/>
  <c r="L552" i="3"/>
  <c r="P553" i="3"/>
  <c r="Q553" i="3" s="1"/>
  <c r="R553" i="3" s="1"/>
  <c r="S553" i="3" s="1"/>
  <c r="Z553" i="3"/>
  <c r="AC553" i="3"/>
  <c r="AA553" i="3"/>
  <c r="AD553" i="3"/>
  <c r="T553" i="3" l="1"/>
  <c r="U552" i="3"/>
  <c r="Y551" i="3"/>
  <c r="D553" i="3" l="1"/>
  <c r="G553" i="3" s="1"/>
  <c r="AH553" i="3"/>
  <c r="AG553" i="3"/>
  <c r="E553" i="3"/>
  <c r="H553" i="3" s="1"/>
  <c r="K553" i="3" l="1"/>
  <c r="AE553" i="3" s="1"/>
  <c r="F553" i="3"/>
  <c r="I553" i="3"/>
  <c r="J553" i="3"/>
  <c r="M553" i="3"/>
  <c r="N553" i="3" s="1"/>
  <c r="V553" i="3" l="1"/>
  <c r="W553" i="3" s="1"/>
  <c r="A554" i="3"/>
  <c r="B554" i="3" s="1"/>
  <c r="L553" i="3"/>
  <c r="U553" i="3" l="1"/>
  <c r="Y552" i="3"/>
  <c r="AA554" i="3"/>
  <c r="AC554" i="3"/>
  <c r="P554" i="3"/>
  <c r="Q554" i="3" s="1"/>
  <c r="R554" i="3" s="1"/>
  <c r="S554" i="3" s="1"/>
  <c r="Z554" i="3"/>
  <c r="T554" i="3" l="1"/>
  <c r="AH554" i="3" s="1"/>
  <c r="E554" i="3" l="1"/>
  <c r="H554" i="3" s="1"/>
  <c r="K554" i="3" s="1"/>
  <c r="AE554" i="3" s="1"/>
  <c r="AG554" i="3"/>
  <c r="D554" i="3"/>
  <c r="V554" i="3" l="1"/>
  <c r="A555" i="3"/>
  <c r="B555" i="3" s="1"/>
  <c r="F554" i="3"/>
  <c r="G554" i="3"/>
  <c r="I554" i="3" l="1"/>
  <c r="W554" i="3" s="1"/>
  <c r="J554" i="3"/>
  <c r="AD554" i="3" s="1"/>
  <c r="M554" i="3"/>
  <c r="N554" i="3" s="1"/>
  <c r="AA555" i="3"/>
  <c r="Z555" i="3"/>
  <c r="AC555" i="3"/>
  <c r="P555" i="3"/>
  <c r="Q555" i="3" s="1"/>
  <c r="R555" i="3" s="1"/>
  <c r="S555" i="3" s="1"/>
  <c r="AD555" i="3"/>
  <c r="L554" i="3" l="1"/>
  <c r="T555" i="3"/>
  <c r="U554" i="3" l="1"/>
  <c r="E555" i="3" s="1"/>
  <c r="H555" i="3" s="1"/>
  <c r="AG555" i="3"/>
  <c r="AH555" i="3"/>
  <c r="Y553" i="3"/>
  <c r="K555" i="3" l="1"/>
  <c r="AE555" i="3" s="1"/>
  <c r="D555" i="3"/>
  <c r="F555" i="3" l="1"/>
  <c r="G555" i="3"/>
  <c r="V555" i="3"/>
  <c r="A556" i="3"/>
  <c r="B556" i="3" s="1"/>
  <c r="P556" i="3" l="1"/>
  <c r="Q556" i="3" s="1"/>
  <c r="R556" i="3" s="1"/>
  <c r="S556" i="3" s="1"/>
  <c r="AA556" i="3"/>
  <c r="AD556" i="3"/>
  <c r="Z556" i="3"/>
  <c r="AC556" i="3"/>
  <c r="I555" i="3"/>
  <c r="W555" i="3" s="1"/>
  <c r="J555" i="3"/>
  <c r="M555" i="3"/>
  <c r="N555" i="3" s="1"/>
  <c r="T556" i="3" l="1"/>
  <c r="L555" i="3"/>
  <c r="AH556" i="3" l="1"/>
  <c r="U555" i="3"/>
  <c r="D556" i="3" s="1"/>
  <c r="AG556" i="3"/>
  <c r="Y554" i="3"/>
  <c r="E556" i="3" l="1"/>
  <c r="H556" i="3" s="1"/>
  <c r="K556" i="3" s="1"/>
  <c r="AE556" i="3" s="1"/>
  <c r="G556" i="3"/>
  <c r="F556" i="3" l="1"/>
  <c r="I556" i="3"/>
  <c r="J556" i="3"/>
  <c r="M556" i="3"/>
  <c r="N556" i="3" s="1"/>
  <c r="V556" i="3"/>
  <c r="A557" i="3"/>
  <c r="B557" i="3" s="1"/>
  <c r="W556" i="3" l="1"/>
  <c r="L556" i="3"/>
  <c r="P557" i="3"/>
  <c r="Q557" i="3" s="1"/>
  <c r="R557" i="3" s="1"/>
  <c r="S557" i="3" s="1"/>
  <c r="AA557" i="3"/>
  <c r="AC557" i="3"/>
  <c r="Z557" i="3"/>
  <c r="U556" i="3" l="1"/>
  <c r="Y555" i="3"/>
  <c r="T557" i="3"/>
  <c r="AH557" i="3" s="1"/>
  <c r="D557" i="3" l="1"/>
  <c r="G557" i="3" s="1"/>
  <c r="AG557" i="3"/>
  <c r="E557" i="3"/>
  <c r="H557" i="3" s="1"/>
  <c r="K557" i="3" s="1"/>
  <c r="AE557" i="3" s="1"/>
  <c r="F557" i="3" l="1"/>
  <c r="I557" i="3"/>
  <c r="J557" i="3"/>
  <c r="AD557" i="3" s="1"/>
  <c r="M557" i="3"/>
  <c r="N557" i="3" s="1"/>
  <c r="V557" i="3"/>
  <c r="A558" i="3"/>
  <c r="B558" i="3" s="1"/>
  <c r="W557" i="3" l="1"/>
  <c r="L557" i="3"/>
  <c r="AA558" i="3"/>
  <c r="AD558" i="3"/>
  <c r="P558" i="3"/>
  <c r="Q558" i="3" s="1"/>
  <c r="R558" i="3" s="1"/>
  <c r="S558" i="3" s="1"/>
  <c r="Z558" i="3"/>
  <c r="AC558" i="3"/>
  <c r="T558" i="3" l="1"/>
  <c r="AG558" i="3" s="1"/>
  <c r="U557" i="3"/>
  <c r="Y556" i="3"/>
  <c r="E558" i="3" l="1"/>
  <c r="H558" i="3" s="1"/>
  <c r="AH558" i="3"/>
  <c r="D558" i="3"/>
  <c r="F558" i="3" l="1"/>
  <c r="G558" i="3"/>
  <c r="K558" i="3"/>
  <c r="AE558" i="3" s="1"/>
  <c r="I558" i="3" l="1"/>
  <c r="J558" i="3"/>
  <c r="M558" i="3"/>
  <c r="N558" i="3" s="1"/>
  <c r="V558" i="3"/>
  <c r="A559" i="3"/>
  <c r="B559" i="3" s="1"/>
  <c r="W558" i="3" l="1"/>
  <c r="L558" i="3"/>
  <c r="AC559" i="3"/>
  <c r="P559" i="3"/>
  <c r="Q559" i="3" s="1"/>
  <c r="R559" i="3" s="1"/>
  <c r="S559" i="3" s="1"/>
  <c r="AA559" i="3"/>
  <c r="Z559" i="3"/>
  <c r="AD559" i="3"/>
  <c r="T559" i="3" l="1"/>
  <c r="U558" i="3"/>
  <c r="Y557" i="3"/>
  <c r="E559" i="3" l="1"/>
  <c r="H559" i="3" s="1"/>
  <c r="K559" i="3" s="1"/>
  <c r="AE559" i="3" s="1"/>
  <c r="AH559" i="3"/>
  <c r="AG559" i="3"/>
  <c r="D559" i="3"/>
  <c r="V559" i="3" l="1"/>
  <c r="A560" i="3"/>
  <c r="B560" i="3" s="1"/>
  <c r="F559" i="3"/>
  <c r="G559" i="3"/>
  <c r="I559" i="3" l="1"/>
  <c r="W559" i="3" s="1"/>
  <c r="J559" i="3"/>
  <c r="M559" i="3"/>
  <c r="N559" i="3" s="1"/>
  <c r="AD560" i="3"/>
  <c r="Z560" i="3"/>
  <c r="AC560" i="3"/>
  <c r="AA560" i="3"/>
  <c r="P560" i="3"/>
  <c r="Q560" i="3" s="1"/>
  <c r="R560" i="3" s="1"/>
  <c r="S560" i="3" s="1"/>
  <c r="T560" i="3" l="1"/>
  <c r="L559" i="3"/>
  <c r="AG560" i="3" l="1"/>
  <c r="U559" i="3"/>
  <c r="D560" i="3" s="1"/>
  <c r="AH560" i="3"/>
  <c r="Y558" i="3"/>
  <c r="E560" i="3" l="1"/>
  <c r="H560" i="3" s="1"/>
  <c r="K560" i="3" s="1"/>
  <c r="AE560" i="3" s="1"/>
  <c r="G560" i="3"/>
  <c r="F560" i="3" l="1"/>
  <c r="V560" i="3"/>
  <c r="A561" i="3"/>
  <c r="B561" i="3" s="1"/>
  <c r="I560" i="3"/>
  <c r="J560" i="3"/>
  <c r="M560" i="3"/>
  <c r="N560" i="3" s="1"/>
  <c r="W560" i="3" l="1"/>
  <c r="L560" i="3"/>
  <c r="AA561" i="3"/>
  <c r="P561" i="3"/>
  <c r="Q561" i="3" s="1"/>
  <c r="R561" i="3" s="1"/>
  <c r="S561" i="3" s="1"/>
  <c r="Z561" i="3"/>
  <c r="AC561" i="3"/>
  <c r="U560" i="3" l="1"/>
  <c r="Y559" i="3"/>
  <c r="T561" i="3"/>
  <c r="E561" i="3" l="1"/>
  <c r="H561" i="3" s="1"/>
  <c r="K561" i="3" s="1"/>
  <c r="AE561" i="3" s="1"/>
  <c r="D561" i="3"/>
  <c r="AH561" i="3"/>
  <c r="AG561" i="3"/>
  <c r="F561" i="3" l="1"/>
  <c r="G561" i="3"/>
  <c r="M561" i="3" s="1"/>
  <c r="N561" i="3" s="1"/>
  <c r="V561" i="3"/>
  <c r="A562" i="3"/>
  <c r="B562" i="3" s="1"/>
  <c r="I561" i="3" l="1"/>
  <c r="W561" i="3" s="1"/>
  <c r="J561" i="3"/>
  <c r="Z562" i="3"/>
  <c r="AA562" i="3"/>
  <c r="AD562" i="3"/>
  <c r="P562" i="3"/>
  <c r="Q562" i="3" s="1"/>
  <c r="R562" i="3" s="1"/>
  <c r="S562" i="3" s="1"/>
  <c r="AC562" i="3"/>
  <c r="L561" i="3" l="1"/>
  <c r="Y560" i="3" s="1"/>
  <c r="AD561" i="3"/>
  <c r="T562" i="3"/>
  <c r="AH562" i="3" l="1"/>
  <c r="U561" i="3"/>
  <c r="E562" i="3" s="1"/>
  <c r="H562" i="3" s="1"/>
  <c r="K562" i="3" s="1"/>
  <c r="AE562" i="3" s="1"/>
  <c r="AG562" i="3"/>
  <c r="D562" i="3"/>
  <c r="F562" i="3" l="1"/>
  <c r="G562" i="3"/>
  <c r="J562" i="3" s="1"/>
  <c r="V562" i="3"/>
  <c r="A563" i="3"/>
  <c r="B563" i="3" s="1"/>
  <c r="M562" i="3" l="1"/>
  <c r="N562" i="3" s="1"/>
  <c r="I562" i="3"/>
  <c r="W562" i="3" s="1"/>
  <c r="L562" i="3"/>
  <c r="Z563" i="3"/>
  <c r="P563" i="3"/>
  <c r="Q563" i="3" s="1"/>
  <c r="R563" i="3" s="1"/>
  <c r="S563" i="3" s="1"/>
  <c r="AC563" i="3"/>
  <c r="AA563" i="3"/>
  <c r="AD563" i="3"/>
  <c r="U562" i="3" l="1"/>
  <c r="Y561" i="3"/>
  <c r="T563" i="3"/>
  <c r="AH563" i="3" s="1"/>
  <c r="AG563" i="3" l="1"/>
  <c r="D563" i="3"/>
  <c r="E563" i="3"/>
  <c r="H563" i="3" s="1"/>
  <c r="K563" i="3" s="1"/>
  <c r="AE563" i="3" s="1"/>
  <c r="F563" i="3" l="1"/>
  <c r="G563" i="3"/>
  <c r="M563" i="3" s="1"/>
  <c r="N563" i="3" s="1"/>
  <c r="V563" i="3"/>
  <c r="A564" i="3"/>
  <c r="B564" i="3" s="1"/>
  <c r="I563" i="3" l="1"/>
  <c r="W563" i="3" s="1"/>
  <c r="J563" i="3"/>
  <c r="L563" i="3" s="1"/>
  <c r="Z564" i="3"/>
  <c r="P564" i="3"/>
  <c r="Q564" i="3" s="1"/>
  <c r="R564" i="3" s="1"/>
  <c r="S564" i="3" s="1"/>
  <c r="AC564" i="3"/>
  <c r="AA564" i="3"/>
  <c r="U563" i="3" l="1"/>
  <c r="Y562" i="3"/>
  <c r="T564" i="3"/>
  <c r="AH564" i="3" s="1"/>
  <c r="D564" i="3" l="1"/>
  <c r="E564" i="3"/>
  <c r="H564" i="3" s="1"/>
  <c r="AG564" i="3"/>
  <c r="K564" i="3" l="1"/>
  <c r="AE564" i="3" s="1"/>
  <c r="F564" i="3"/>
  <c r="G564" i="3"/>
  <c r="V564" i="3" l="1"/>
  <c r="A565" i="3"/>
  <c r="B565" i="3" s="1"/>
  <c r="I564" i="3"/>
  <c r="J564" i="3"/>
  <c r="AD564" i="3" s="1"/>
  <c r="M564" i="3"/>
  <c r="N564" i="3" s="1"/>
  <c r="W564" i="3" l="1"/>
  <c r="L564" i="3"/>
  <c r="Z565" i="3"/>
  <c r="AC565" i="3"/>
  <c r="P565" i="3"/>
  <c r="Q565" i="3" s="1"/>
  <c r="R565" i="3" s="1"/>
  <c r="S565" i="3" s="1"/>
  <c r="AA565" i="3"/>
  <c r="AD565" i="3"/>
  <c r="U564" i="3" l="1"/>
  <c r="Y563" i="3"/>
  <c r="T565" i="3"/>
  <c r="E565" i="3" l="1"/>
  <c r="H565" i="3" s="1"/>
  <c r="K565" i="3" s="1"/>
  <c r="AE565" i="3" s="1"/>
  <c r="D565" i="3"/>
  <c r="AG565" i="3"/>
  <c r="AH565" i="3"/>
  <c r="V565" i="3" l="1"/>
  <c r="A566" i="3"/>
  <c r="B566" i="3" s="1"/>
  <c r="F565" i="3"/>
  <c r="G565" i="3"/>
  <c r="I565" i="3" l="1"/>
  <c r="W565" i="3" s="1"/>
  <c r="J565" i="3"/>
  <c r="M565" i="3"/>
  <c r="N565" i="3" s="1"/>
  <c r="AD566" i="3"/>
  <c r="Z566" i="3"/>
  <c r="AA566" i="3"/>
  <c r="P566" i="3"/>
  <c r="Q566" i="3" s="1"/>
  <c r="R566" i="3" s="1"/>
  <c r="S566" i="3" s="1"/>
  <c r="AC566" i="3"/>
  <c r="L565" i="3" l="1"/>
  <c r="T566" i="3"/>
  <c r="AG566" i="3" l="1"/>
  <c r="AH566" i="3"/>
  <c r="U565" i="3"/>
  <c r="D566" i="3" s="1"/>
  <c r="Y564" i="3"/>
  <c r="G566" i="3" l="1"/>
  <c r="E566" i="3"/>
  <c r="H566" i="3" s="1"/>
  <c r="F566" i="3" l="1"/>
  <c r="I566" i="3"/>
  <c r="J566" i="3"/>
  <c r="M566" i="3"/>
  <c r="N566" i="3" s="1"/>
  <c r="K566" i="3"/>
  <c r="AE566" i="3" s="1"/>
  <c r="V566" i="3" l="1"/>
  <c r="W566" i="3" s="1"/>
  <c r="A567" i="3"/>
  <c r="B567" i="3" s="1"/>
  <c r="L566" i="3"/>
  <c r="U566" i="3" l="1"/>
  <c r="Y565" i="3"/>
  <c r="P567" i="3"/>
  <c r="Q567" i="3" s="1"/>
  <c r="R567" i="3" s="1"/>
  <c r="S567" i="3" s="1"/>
  <c r="AA567" i="3"/>
  <c r="Z567" i="3"/>
  <c r="AC567" i="3"/>
  <c r="T567" i="3" l="1"/>
  <c r="AG567" i="3" s="1"/>
  <c r="AH567" i="3" l="1"/>
  <c r="E567" i="3"/>
  <c r="H567" i="3" s="1"/>
  <c r="K567" i="3" s="1"/>
  <c r="AE567" i="3" s="1"/>
  <c r="D567" i="3"/>
  <c r="G567" i="3" s="1"/>
  <c r="F567" i="3" l="1"/>
  <c r="I567" i="3"/>
  <c r="J567" i="3"/>
  <c r="AD567" i="3" s="1"/>
  <c r="M567" i="3"/>
  <c r="N567" i="3" s="1"/>
  <c r="V567" i="3"/>
  <c r="A568" i="3"/>
  <c r="B568" i="3" s="1"/>
  <c r="W567" i="3" l="1"/>
  <c r="L567" i="3"/>
  <c r="AC568" i="3"/>
  <c r="AD568" i="3"/>
  <c r="P568" i="3"/>
  <c r="Q568" i="3" s="1"/>
  <c r="R568" i="3" s="1"/>
  <c r="S568" i="3" s="1"/>
  <c r="AA568" i="3"/>
  <c r="Z568" i="3"/>
  <c r="U567" i="3" l="1"/>
  <c r="Y566" i="3"/>
  <c r="T568" i="3"/>
  <c r="AG568" i="3" s="1"/>
  <c r="D568" i="3" l="1"/>
  <c r="G568" i="3" s="1"/>
  <c r="E568" i="3"/>
  <c r="H568" i="3" s="1"/>
  <c r="K568" i="3" s="1"/>
  <c r="AE568" i="3" s="1"/>
  <c r="AH568" i="3"/>
  <c r="F568" i="3" l="1"/>
  <c r="V568" i="3"/>
  <c r="A569" i="3"/>
  <c r="B569" i="3" s="1"/>
  <c r="I568" i="3"/>
  <c r="J568" i="3"/>
  <c r="M568" i="3"/>
  <c r="N568" i="3" s="1"/>
  <c r="L568" i="3" l="1"/>
  <c r="W568" i="3"/>
  <c r="AA569" i="3"/>
  <c r="AD569" i="3"/>
  <c r="P569" i="3"/>
  <c r="Q569" i="3" s="1"/>
  <c r="R569" i="3" s="1"/>
  <c r="S569" i="3" s="1"/>
  <c r="AC569" i="3"/>
  <c r="Z569" i="3"/>
  <c r="T569" i="3" l="1"/>
  <c r="AH569" i="3" s="1"/>
  <c r="U568" i="3"/>
  <c r="Y567" i="3"/>
  <c r="D569" i="3" l="1"/>
  <c r="G569" i="3" s="1"/>
  <c r="AG569" i="3"/>
  <c r="E569" i="3"/>
  <c r="H569" i="3" s="1"/>
  <c r="F569" i="3" l="1"/>
  <c r="I569" i="3"/>
  <c r="J569" i="3"/>
  <c r="M569" i="3"/>
  <c r="N569" i="3" s="1"/>
  <c r="K569" i="3"/>
  <c r="AE569" i="3" s="1"/>
  <c r="L569" i="3" l="1"/>
  <c r="V569" i="3"/>
  <c r="W569" i="3" s="1"/>
  <c r="A570" i="3"/>
  <c r="B570" i="3" s="1"/>
  <c r="AC570" i="3" l="1"/>
  <c r="P570" i="3"/>
  <c r="Q570" i="3" s="1"/>
  <c r="R570" i="3" s="1"/>
  <c r="S570" i="3" s="1"/>
  <c r="AD570" i="3"/>
  <c r="Z570" i="3"/>
  <c r="AA570" i="3"/>
  <c r="U569" i="3"/>
  <c r="Y568" i="3"/>
  <c r="T570" i="3" l="1"/>
  <c r="D570" i="3" l="1"/>
  <c r="E570" i="3"/>
  <c r="H570" i="3" s="1"/>
  <c r="AG570" i="3"/>
  <c r="AH570" i="3"/>
  <c r="F570" i="3" l="1"/>
  <c r="G570" i="3"/>
  <c r="K570" i="3"/>
  <c r="AE570" i="3" s="1"/>
  <c r="V570" i="3" l="1"/>
  <c r="A571" i="3"/>
  <c r="B571" i="3" s="1"/>
  <c r="I570" i="3"/>
  <c r="J570" i="3"/>
  <c r="M570" i="3"/>
  <c r="N570" i="3" s="1"/>
  <c r="W570" i="3" l="1"/>
  <c r="L570" i="3"/>
  <c r="P571" i="3"/>
  <c r="Q571" i="3" s="1"/>
  <c r="R571" i="3" s="1"/>
  <c r="S571" i="3" s="1"/>
  <c r="AA571" i="3"/>
  <c r="Z571" i="3"/>
  <c r="AC571" i="3"/>
  <c r="U570" i="3" l="1"/>
  <c r="Y569" i="3"/>
  <c r="T571" i="3"/>
  <c r="D571" i="3" l="1"/>
  <c r="G571" i="3" s="1"/>
  <c r="AG571" i="3"/>
  <c r="AH571" i="3"/>
  <c r="E571" i="3"/>
  <c r="H571" i="3" s="1"/>
  <c r="K571" i="3" s="1"/>
  <c r="AE571" i="3" s="1"/>
  <c r="F571" i="3" l="1"/>
  <c r="V571" i="3"/>
  <c r="A572" i="3"/>
  <c r="B572" i="3" s="1"/>
  <c r="I571" i="3"/>
  <c r="J571" i="3"/>
  <c r="AD571" i="3" s="1"/>
  <c r="M571" i="3"/>
  <c r="N571" i="3" s="1"/>
  <c r="W571" i="3" l="1"/>
  <c r="L571" i="3"/>
  <c r="AC572" i="3"/>
  <c r="AD572" i="3"/>
  <c r="P572" i="3"/>
  <c r="Q572" i="3" s="1"/>
  <c r="R572" i="3" s="1"/>
  <c r="S572" i="3" s="1"/>
  <c r="AA572" i="3"/>
  <c r="Z572" i="3"/>
  <c r="T572" i="3" l="1"/>
  <c r="AH572" i="3" s="1"/>
  <c r="U571" i="3"/>
  <c r="Y570" i="3"/>
  <c r="E572" i="3" l="1"/>
  <c r="H572" i="3" s="1"/>
  <c r="AG572" i="3"/>
  <c r="D572" i="3"/>
  <c r="F572" i="3" l="1"/>
  <c r="G572" i="3"/>
  <c r="K572" i="3"/>
  <c r="AE572" i="3" s="1"/>
  <c r="V572" i="3" l="1"/>
  <c r="A573" i="3"/>
  <c r="B573" i="3" s="1"/>
  <c r="I572" i="3"/>
  <c r="J572" i="3"/>
  <c r="M572" i="3"/>
  <c r="N572" i="3" s="1"/>
  <c r="W572" i="3" l="1"/>
  <c r="L572" i="3"/>
  <c r="P573" i="3"/>
  <c r="Q573" i="3" s="1"/>
  <c r="R573" i="3" s="1"/>
  <c r="S573" i="3" s="1"/>
  <c r="Z573" i="3"/>
  <c r="AC573" i="3"/>
  <c r="AA573" i="3"/>
  <c r="AD573" i="3"/>
  <c r="U572" i="3" l="1"/>
  <c r="Y571" i="3"/>
  <c r="T573" i="3"/>
  <c r="E573" i="3" l="1"/>
  <c r="H573" i="3" s="1"/>
  <c r="K573" i="3" s="1"/>
  <c r="AE573" i="3" s="1"/>
  <c r="D573" i="3"/>
  <c r="AH573" i="3"/>
  <c r="AG573" i="3"/>
  <c r="F573" i="3" l="1"/>
  <c r="G573" i="3"/>
  <c r="I573" i="3" s="1"/>
  <c r="V573" i="3"/>
  <c r="A574" i="3"/>
  <c r="B574" i="3" s="1"/>
  <c r="J573" i="3" l="1"/>
  <c r="L573" i="3" s="1"/>
  <c r="M573" i="3"/>
  <c r="N573" i="3" s="1"/>
  <c r="W573" i="3"/>
  <c r="AA574" i="3"/>
  <c r="Z574" i="3"/>
  <c r="P574" i="3"/>
  <c r="Q574" i="3" s="1"/>
  <c r="R574" i="3" s="1"/>
  <c r="S574" i="3" s="1"/>
  <c r="AC574" i="3"/>
  <c r="U573" i="3" l="1"/>
  <c r="Y572" i="3"/>
  <c r="T574" i="3"/>
  <c r="AH574" i="3" s="1"/>
  <c r="D574" i="3" l="1"/>
  <c r="G574" i="3" s="1"/>
  <c r="AG574" i="3"/>
  <c r="E574" i="3"/>
  <c r="H574" i="3" s="1"/>
  <c r="K574" i="3" l="1"/>
  <c r="AE574" i="3" s="1"/>
  <c r="I574" i="3"/>
  <c r="J574" i="3"/>
  <c r="AD574" i="3" s="1"/>
  <c r="M574" i="3"/>
  <c r="N574" i="3" s="1"/>
  <c r="F574" i="3"/>
  <c r="V574" i="3" l="1"/>
  <c r="W574" i="3" s="1"/>
  <c r="A575" i="3"/>
  <c r="B575" i="3" s="1"/>
  <c r="L574" i="3"/>
  <c r="U574" i="3" l="1"/>
  <c r="Y573" i="3"/>
  <c r="P575" i="3"/>
  <c r="Q575" i="3" s="1"/>
  <c r="R575" i="3" s="1"/>
  <c r="S575" i="3" s="1"/>
  <c r="Z575" i="3"/>
  <c r="AC575" i="3"/>
  <c r="AA575" i="3"/>
  <c r="AD575" i="3"/>
  <c r="T575" i="3" l="1"/>
  <c r="AH575" i="3" s="1"/>
  <c r="AG575" i="3" l="1"/>
  <c r="E575" i="3"/>
  <c r="H575" i="3" s="1"/>
  <c r="D575" i="3"/>
  <c r="K575" i="3" l="1"/>
  <c r="AE575" i="3" s="1"/>
  <c r="F575" i="3"/>
  <c r="G575" i="3"/>
  <c r="V575" i="3" l="1"/>
  <c r="A576" i="3"/>
  <c r="B576" i="3" s="1"/>
  <c r="I575" i="3"/>
  <c r="J575" i="3"/>
  <c r="M575" i="3"/>
  <c r="N575" i="3" s="1"/>
  <c r="W575" i="3" l="1"/>
  <c r="L575" i="3"/>
  <c r="AA576" i="3"/>
  <c r="P576" i="3"/>
  <c r="Q576" i="3" s="1"/>
  <c r="R576" i="3" s="1"/>
  <c r="S576" i="3" s="1"/>
  <c r="AD576" i="3"/>
  <c r="Z576" i="3"/>
  <c r="AC576" i="3"/>
  <c r="U575" i="3" l="1"/>
  <c r="Y574" i="3"/>
  <c r="T576" i="3"/>
  <c r="E576" i="3" l="1"/>
  <c r="H576" i="3" s="1"/>
  <c r="K576" i="3" s="1"/>
  <c r="AE576" i="3" s="1"/>
  <c r="AH576" i="3"/>
  <c r="D576" i="3"/>
  <c r="G576" i="3" s="1"/>
  <c r="AG576" i="3"/>
  <c r="F576" i="3" l="1"/>
  <c r="V576" i="3"/>
  <c r="A577" i="3"/>
  <c r="B577" i="3" s="1"/>
  <c r="I576" i="3"/>
  <c r="J576" i="3"/>
  <c r="M576" i="3"/>
  <c r="N576" i="3" s="1"/>
  <c r="W576" i="3" l="1"/>
  <c r="L576" i="3"/>
  <c r="P577" i="3"/>
  <c r="Q577" i="3" s="1"/>
  <c r="R577" i="3" s="1"/>
  <c r="S577" i="3" s="1"/>
  <c r="AC577" i="3"/>
  <c r="AA577" i="3"/>
  <c r="Z577" i="3"/>
  <c r="U576" i="3" l="1"/>
  <c r="Y575" i="3"/>
  <c r="T577" i="3"/>
  <c r="AH577" i="3" s="1"/>
  <c r="E577" i="3" l="1"/>
  <c r="H577" i="3" s="1"/>
  <c r="K577" i="3" s="1"/>
  <c r="AE577" i="3" s="1"/>
  <c r="AG577" i="3"/>
  <c r="D577" i="3"/>
  <c r="F577" i="3" l="1"/>
  <c r="G577" i="3"/>
  <c r="J577" i="3" s="1"/>
  <c r="AD577" i="3" s="1"/>
  <c r="V577" i="3"/>
  <c r="A578" i="3"/>
  <c r="B578" i="3" s="1"/>
  <c r="M577" i="3" l="1"/>
  <c r="N577" i="3" s="1"/>
  <c r="I577" i="3"/>
  <c r="W577" i="3" s="1"/>
  <c r="L577" i="3"/>
  <c r="AC578" i="3"/>
  <c r="AD578" i="3"/>
  <c r="P578" i="3"/>
  <c r="Q578" i="3" s="1"/>
  <c r="R578" i="3" s="1"/>
  <c r="S578" i="3" s="1"/>
  <c r="Z578" i="3"/>
  <c r="AA578" i="3"/>
  <c r="U577" i="3" l="1"/>
  <c r="Y576" i="3"/>
  <c r="T578" i="3"/>
  <c r="AG578" i="3" s="1"/>
  <c r="D578" i="3" l="1"/>
  <c r="G578" i="3" s="1"/>
  <c r="AH578" i="3"/>
  <c r="E578" i="3"/>
  <c r="H578" i="3" s="1"/>
  <c r="K578" i="3" s="1"/>
  <c r="AE578" i="3" s="1"/>
  <c r="F578" i="3" l="1"/>
  <c r="I578" i="3"/>
  <c r="J578" i="3"/>
  <c r="M578" i="3"/>
  <c r="N578" i="3" s="1"/>
  <c r="V578" i="3"/>
  <c r="A579" i="3"/>
  <c r="B579" i="3" s="1"/>
  <c r="W578" i="3" l="1"/>
  <c r="L578" i="3"/>
  <c r="AC579" i="3"/>
  <c r="Z579" i="3"/>
  <c r="P579" i="3"/>
  <c r="Q579" i="3" s="1"/>
  <c r="R579" i="3" s="1"/>
  <c r="S579" i="3" s="1"/>
  <c r="AD579" i="3"/>
  <c r="AA579" i="3"/>
  <c r="U578" i="3" l="1"/>
  <c r="Y577" i="3"/>
  <c r="T579" i="3"/>
  <c r="AG579" i="3" s="1"/>
  <c r="E579" i="3" l="1"/>
  <c r="H579" i="3" s="1"/>
  <c r="K579" i="3" s="1"/>
  <c r="AE579" i="3" s="1"/>
  <c r="AH579" i="3"/>
  <c r="D579" i="3"/>
  <c r="F579" i="3" l="1"/>
  <c r="G579" i="3"/>
  <c r="M579" i="3" s="1"/>
  <c r="N579" i="3" s="1"/>
  <c r="V579" i="3"/>
  <c r="A580" i="3"/>
  <c r="B580" i="3" s="1"/>
  <c r="I579" i="3" l="1"/>
  <c r="W579" i="3" s="1"/>
  <c r="J579" i="3"/>
  <c r="L579" i="3" s="1"/>
  <c r="AD580" i="3"/>
  <c r="P580" i="3"/>
  <c r="Q580" i="3" s="1"/>
  <c r="R580" i="3" s="1"/>
  <c r="S580" i="3" s="1"/>
  <c r="AA580" i="3"/>
  <c r="AC580" i="3"/>
  <c r="Z580" i="3"/>
  <c r="U579" i="3" l="1"/>
  <c r="Y578" i="3"/>
  <c r="T580" i="3"/>
  <c r="AH580" i="3" s="1"/>
  <c r="E580" i="3" l="1"/>
  <c r="H580" i="3" s="1"/>
  <c r="D580" i="3"/>
  <c r="AG580" i="3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P581" i="3"/>
  <c r="Q581" i="3" s="1"/>
  <c r="R581" i="3" s="1"/>
  <c r="S581" i="3" s="1"/>
  <c r="Z581" i="3"/>
  <c r="AA581" i="3"/>
  <c r="AC581" i="3"/>
  <c r="L580" i="3"/>
  <c r="T581" i="3" l="1"/>
  <c r="AH581" i="3" s="1"/>
  <c r="U580" i="3"/>
  <c r="Y579" i="3"/>
  <c r="D581" i="3" l="1"/>
  <c r="G581" i="3" s="1"/>
  <c r="AG581" i="3"/>
  <c r="E581" i="3"/>
  <c r="H581" i="3" s="1"/>
  <c r="I581" i="3" l="1"/>
  <c r="J581" i="3"/>
  <c r="AD581" i="3" s="1"/>
  <c r="M581" i="3"/>
  <c r="N581" i="3" s="1"/>
  <c r="F581" i="3"/>
  <c r="K581" i="3"/>
  <c r="AE581" i="3" s="1"/>
  <c r="L581" i="3" l="1"/>
  <c r="V581" i="3"/>
  <c r="W581" i="3" s="1"/>
  <c r="A582" i="3"/>
  <c r="B582" i="3" s="1"/>
  <c r="P582" i="3" l="1"/>
  <c r="Q582" i="3" s="1"/>
  <c r="R582" i="3" s="1"/>
  <c r="S582" i="3" s="1"/>
  <c r="Z582" i="3"/>
  <c r="AD582" i="3"/>
  <c r="AC582" i="3"/>
  <c r="AA582" i="3"/>
  <c r="U581" i="3"/>
  <c r="Y580" i="3"/>
  <c r="T582" i="3" l="1"/>
  <c r="AH582" i="3" s="1"/>
  <c r="E582" i="3" l="1"/>
  <c r="H582" i="3" s="1"/>
  <c r="K582" i="3" s="1"/>
  <c r="AE582" i="3" s="1"/>
  <c r="AG582" i="3"/>
  <c r="D582" i="3"/>
  <c r="V582" i="3" l="1"/>
  <c r="A583" i="3"/>
  <c r="B583" i="3" s="1"/>
  <c r="F582" i="3"/>
  <c r="G582" i="3"/>
  <c r="I582" i="3" l="1"/>
  <c r="W582" i="3" s="1"/>
  <c r="J582" i="3"/>
  <c r="M582" i="3"/>
  <c r="N582" i="3" s="1"/>
  <c r="AD583" i="3"/>
  <c r="AA583" i="3"/>
  <c r="Z583" i="3"/>
  <c r="P583" i="3"/>
  <c r="Q583" i="3" s="1"/>
  <c r="R583" i="3" s="1"/>
  <c r="S583" i="3" s="1"/>
  <c r="AC583" i="3"/>
  <c r="T583" i="3" l="1"/>
  <c r="L582" i="3"/>
  <c r="U582" i="3" l="1"/>
  <c r="E583" i="3" s="1"/>
  <c r="H583" i="3" s="1"/>
  <c r="AG583" i="3"/>
  <c r="AH583" i="3"/>
  <c r="Y581" i="3"/>
  <c r="D583" i="3" l="1"/>
  <c r="G583" i="3" s="1"/>
  <c r="K583" i="3"/>
  <c r="AE583" i="3" s="1"/>
  <c r="F583" i="3" l="1"/>
  <c r="V583" i="3"/>
  <c r="A584" i="3"/>
  <c r="B584" i="3" s="1"/>
  <c r="I583" i="3"/>
  <c r="J583" i="3"/>
  <c r="M583" i="3"/>
  <c r="N583" i="3" s="1"/>
  <c r="W583" i="3" l="1"/>
  <c r="L583" i="3"/>
  <c r="AC584" i="3"/>
  <c r="P584" i="3"/>
  <c r="Q584" i="3" s="1"/>
  <c r="R584" i="3" s="1"/>
  <c r="S584" i="3" s="1"/>
  <c r="AA584" i="3"/>
  <c r="Z584" i="3"/>
  <c r="U583" i="3" l="1"/>
  <c r="Y582" i="3"/>
  <c r="T584" i="3"/>
  <c r="AG584" i="3" s="1"/>
  <c r="E584" i="3" l="1"/>
  <c r="H584" i="3" s="1"/>
  <c r="K584" i="3" s="1"/>
  <c r="AE584" i="3" s="1"/>
  <c r="AH584" i="3"/>
  <c r="D584" i="3"/>
  <c r="V584" i="3" l="1"/>
  <c r="A585" i="3"/>
  <c r="B585" i="3" s="1"/>
  <c r="F584" i="3"/>
  <c r="G584" i="3"/>
  <c r="Z585" i="3" l="1"/>
  <c r="AA585" i="3"/>
  <c r="P585" i="3"/>
  <c r="Q585" i="3" s="1"/>
  <c r="R585" i="3" s="1"/>
  <c r="S585" i="3" s="1"/>
  <c r="AD585" i="3"/>
  <c r="AC585" i="3"/>
  <c r="I584" i="3"/>
  <c r="W584" i="3" s="1"/>
  <c r="J584" i="3"/>
  <c r="AD584" i="3" s="1"/>
  <c r="M584" i="3"/>
  <c r="N584" i="3" s="1"/>
  <c r="T585" i="3" l="1"/>
  <c r="L584" i="3"/>
  <c r="AG585" i="3" l="1"/>
  <c r="U584" i="3"/>
  <c r="D585" i="3" s="1"/>
  <c r="AH585" i="3"/>
  <c r="Y583" i="3"/>
  <c r="G585" i="3" l="1"/>
  <c r="E585" i="3"/>
  <c r="H585" i="3" s="1"/>
  <c r="F585" i="3" l="1"/>
  <c r="I585" i="3"/>
  <c r="J585" i="3"/>
  <c r="M585" i="3"/>
  <c r="N585" i="3" s="1"/>
  <c r="K585" i="3"/>
  <c r="AE585" i="3" s="1"/>
  <c r="V585" i="3" l="1"/>
  <c r="W585" i="3" s="1"/>
  <c r="A586" i="3"/>
  <c r="B586" i="3" s="1"/>
  <c r="L585" i="3"/>
  <c r="U585" i="3" l="1"/>
  <c r="Y584" i="3"/>
  <c r="P586" i="3"/>
  <c r="Q586" i="3" s="1"/>
  <c r="R586" i="3" s="1"/>
  <c r="S586" i="3" s="1"/>
  <c r="AA586" i="3"/>
  <c r="Z586" i="3"/>
  <c r="AD586" i="3"/>
  <c r="AC586" i="3"/>
  <c r="T586" i="3" l="1"/>
  <c r="E586" i="3" s="1"/>
  <c r="H586" i="3" s="1"/>
  <c r="AH586" i="3" l="1"/>
  <c r="K586" i="3"/>
  <c r="AE586" i="3" s="1"/>
  <c r="AG586" i="3"/>
  <c r="D586" i="3"/>
  <c r="F586" i="3" l="1"/>
  <c r="G586" i="3"/>
  <c r="V586" i="3"/>
  <c r="A587" i="3"/>
  <c r="B587" i="3" s="1"/>
  <c r="AA587" i="3" l="1"/>
  <c r="Z587" i="3"/>
  <c r="AC587" i="3"/>
  <c r="P587" i="3"/>
  <c r="Q587" i="3" s="1"/>
  <c r="R587" i="3" s="1"/>
  <c r="S587" i="3" s="1"/>
  <c r="I586" i="3"/>
  <c r="W586" i="3" s="1"/>
  <c r="J586" i="3"/>
  <c r="M586" i="3"/>
  <c r="N586" i="3" s="1"/>
  <c r="T587" i="3" l="1"/>
  <c r="L586" i="3"/>
  <c r="AH587" i="3" l="1"/>
  <c r="U586" i="3"/>
  <c r="D587" i="3" s="1"/>
  <c r="AG587" i="3"/>
  <c r="Y585" i="3"/>
  <c r="G587" i="3" l="1"/>
  <c r="E587" i="3"/>
  <c r="H587" i="3" s="1"/>
  <c r="F587" i="3" l="1"/>
  <c r="K587" i="3"/>
  <c r="AE587" i="3" s="1"/>
  <c r="I587" i="3"/>
  <c r="J587" i="3"/>
  <c r="AD587" i="3" s="1"/>
  <c r="M587" i="3"/>
  <c r="N587" i="3" s="1"/>
  <c r="L587" i="3" l="1"/>
  <c r="V587" i="3"/>
  <c r="W587" i="3" s="1"/>
  <c r="A588" i="3"/>
  <c r="B588" i="3" s="1"/>
  <c r="U587" i="3" l="1"/>
  <c r="Y586" i="3"/>
  <c r="P588" i="3"/>
  <c r="Q588" i="3" s="1"/>
  <c r="R588" i="3" s="1"/>
  <c r="S588" i="3" s="1"/>
  <c r="AD588" i="3"/>
  <c r="Z588" i="3"/>
  <c r="AC588" i="3"/>
  <c r="AA588" i="3"/>
  <c r="T588" i="3" l="1"/>
  <c r="AH588" i="3" s="1"/>
  <c r="E588" i="3" l="1"/>
  <c r="H588" i="3" s="1"/>
  <c r="K588" i="3" s="1"/>
  <c r="AE588" i="3" s="1"/>
  <c r="AG588" i="3"/>
  <c r="D588" i="3"/>
  <c r="G588" i="3" s="1"/>
  <c r="F588" i="3" l="1"/>
  <c r="I588" i="3"/>
  <c r="J588" i="3"/>
  <c r="M588" i="3"/>
  <c r="N588" i="3" s="1"/>
  <c r="V588" i="3"/>
  <c r="A589" i="3"/>
  <c r="B589" i="3" s="1"/>
  <c r="W588" i="3" l="1"/>
  <c r="L588" i="3"/>
  <c r="AA589" i="3"/>
  <c r="Z589" i="3"/>
  <c r="AC589" i="3"/>
  <c r="P589" i="3"/>
  <c r="Q589" i="3" s="1"/>
  <c r="R589" i="3" s="1"/>
  <c r="S589" i="3" s="1"/>
  <c r="AD589" i="3"/>
  <c r="T589" i="3" l="1"/>
  <c r="AG589" i="3" s="1"/>
  <c r="U588" i="3"/>
  <c r="Y587" i="3"/>
  <c r="AH589" i="3" l="1"/>
  <c r="D589" i="3"/>
  <c r="E589" i="3"/>
  <c r="H589" i="3" s="1"/>
  <c r="F589" i="3" l="1"/>
  <c r="G589" i="3"/>
  <c r="K589" i="3"/>
  <c r="AE589" i="3" s="1"/>
  <c r="I589" i="3" l="1"/>
  <c r="J589" i="3"/>
  <c r="M589" i="3"/>
  <c r="N589" i="3" s="1"/>
  <c r="V589" i="3"/>
  <c r="A590" i="3"/>
  <c r="B590" i="3" s="1"/>
  <c r="W589" i="3" l="1"/>
  <c r="L589" i="3"/>
  <c r="P590" i="3"/>
  <c r="Q590" i="3" s="1"/>
  <c r="R590" i="3" s="1"/>
  <c r="S590" i="3" s="1"/>
  <c r="AC590" i="3"/>
  <c r="AA590" i="3"/>
  <c r="Z590" i="3"/>
  <c r="AD590" i="3"/>
  <c r="U589" i="3" l="1"/>
  <c r="Y588" i="3"/>
  <c r="T590" i="3"/>
  <c r="AH590" i="3" s="1"/>
  <c r="D590" i="3" l="1"/>
  <c r="G590" i="3" s="1"/>
  <c r="E590" i="3"/>
  <c r="H590" i="3" s="1"/>
  <c r="K590" i="3" s="1"/>
  <c r="AE590" i="3" s="1"/>
  <c r="AG590" i="3"/>
  <c r="F590" i="3" l="1"/>
  <c r="V590" i="3"/>
  <c r="A591" i="3"/>
  <c r="B591" i="3" s="1"/>
  <c r="I590" i="3"/>
  <c r="J590" i="3"/>
  <c r="M590" i="3"/>
  <c r="N590" i="3" s="1"/>
  <c r="W590" i="3" l="1"/>
  <c r="L590" i="3"/>
  <c r="AC591" i="3"/>
  <c r="P591" i="3"/>
  <c r="Q591" i="3" s="1"/>
  <c r="R591" i="3" s="1"/>
  <c r="S591" i="3" s="1"/>
  <c r="Z591" i="3"/>
  <c r="AA591" i="3"/>
  <c r="U590" i="3" l="1"/>
  <c r="Y589" i="3"/>
  <c r="T591" i="3"/>
  <c r="AG591" i="3" s="1"/>
  <c r="D591" i="3" l="1"/>
  <c r="G591" i="3" s="1"/>
  <c r="E591" i="3"/>
  <c r="H591" i="3" s="1"/>
  <c r="K591" i="3" s="1"/>
  <c r="AE591" i="3" s="1"/>
  <c r="AH591" i="3"/>
  <c r="F591" i="3" l="1"/>
  <c r="I591" i="3"/>
  <c r="J591" i="3"/>
  <c r="AD591" i="3" s="1"/>
  <c r="M591" i="3"/>
  <c r="N591" i="3" s="1"/>
  <c r="V591" i="3"/>
  <c r="A592" i="3"/>
  <c r="B592" i="3" s="1"/>
  <c r="W591" i="3" l="1"/>
  <c r="L591" i="3"/>
  <c r="AA592" i="3"/>
  <c r="AC592" i="3"/>
  <c r="Z592" i="3"/>
  <c r="AD592" i="3"/>
  <c r="P592" i="3"/>
  <c r="Q592" i="3" s="1"/>
  <c r="R592" i="3" s="1"/>
  <c r="S592" i="3" s="1"/>
  <c r="U591" i="3" l="1"/>
  <c r="Y590" i="3"/>
  <c r="T592" i="3"/>
  <c r="D592" i="3" l="1"/>
  <c r="G592" i="3" s="1"/>
  <c r="AH592" i="3"/>
  <c r="AG592" i="3"/>
  <c r="E592" i="3"/>
  <c r="H592" i="3" s="1"/>
  <c r="K592" i="3" s="1"/>
  <c r="AE592" i="3" s="1"/>
  <c r="F592" i="3" l="1"/>
  <c r="I592" i="3"/>
  <c r="J592" i="3"/>
  <c r="M592" i="3"/>
  <c r="N592" i="3" s="1"/>
  <c r="V592" i="3"/>
  <c r="A593" i="3"/>
  <c r="B593" i="3" s="1"/>
  <c r="W592" i="3" l="1"/>
  <c r="L592" i="3"/>
  <c r="Z593" i="3"/>
  <c r="P593" i="3"/>
  <c r="Q593" i="3" s="1"/>
  <c r="R593" i="3" s="1"/>
  <c r="S593" i="3" s="1"/>
  <c r="AD593" i="3"/>
  <c r="AA593" i="3"/>
  <c r="AC593" i="3"/>
  <c r="U592" i="3" l="1"/>
  <c r="Y591" i="3"/>
  <c r="T593" i="3"/>
  <c r="E593" i="3" l="1"/>
  <c r="H593" i="3" s="1"/>
  <c r="K593" i="3" s="1"/>
  <c r="AE593" i="3" s="1"/>
  <c r="D593" i="3"/>
  <c r="G593" i="3" s="1"/>
  <c r="AH593" i="3"/>
  <c r="AG593" i="3"/>
  <c r="F593" i="3" l="1"/>
  <c r="I593" i="3"/>
  <c r="J593" i="3"/>
  <c r="M593" i="3"/>
  <c r="N593" i="3" s="1"/>
  <c r="V593" i="3"/>
  <c r="A594" i="3"/>
  <c r="B594" i="3" s="1"/>
  <c r="W593" i="3" l="1"/>
  <c r="L593" i="3"/>
  <c r="Z594" i="3"/>
  <c r="AA594" i="3"/>
  <c r="P594" i="3"/>
  <c r="Q594" i="3" s="1"/>
  <c r="R594" i="3" s="1"/>
  <c r="S594" i="3" s="1"/>
  <c r="AC594" i="3"/>
  <c r="U593" i="3" l="1"/>
  <c r="Y592" i="3"/>
  <c r="T594" i="3"/>
  <c r="AG594" i="3" s="1"/>
  <c r="AH594" i="3" l="1"/>
  <c r="E594" i="3"/>
  <c r="H594" i="3" s="1"/>
  <c r="K594" i="3" s="1"/>
  <c r="AE594" i="3" s="1"/>
  <c r="D594" i="3"/>
  <c r="V594" i="3" l="1"/>
  <c r="A595" i="3"/>
  <c r="B595" i="3" s="1"/>
  <c r="F594" i="3"/>
  <c r="G594" i="3"/>
  <c r="I594" i="3" l="1"/>
  <c r="W594" i="3" s="1"/>
  <c r="J594" i="3"/>
  <c r="AD594" i="3" s="1"/>
  <c r="M594" i="3"/>
  <c r="N594" i="3" s="1"/>
  <c r="AC595" i="3"/>
  <c r="AA595" i="3"/>
  <c r="P595" i="3"/>
  <c r="Q595" i="3" s="1"/>
  <c r="R595" i="3" s="1"/>
  <c r="S595" i="3" s="1"/>
  <c r="Z595" i="3"/>
  <c r="AD595" i="3"/>
  <c r="T595" i="3" l="1"/>
  <c r="L594" i="3"/>
  <c r="AH595" i="3" l="1"/>
  <c r="U594" i="3"/>
  <c r="E595" i="3" s="1"/>
  <c r="H595" i="3" s="1"/>
  <c r="AG595" i="3"/>
  <c r="Y593" i="3"/>
  <c r="D595" i="3" l="1"/>
  <c r="G595" i="3" s="1"/>
  <c r="K595" i="3"/>
  <c r="AE595" i="3" s="1"/>
  <c r="F595" i="3" l="1"/>
  <c r="V595" i="3"/>
  <c r="A596" i="3"/>
  <c r="B596" i="3" s="1"/>
  <c r="I595" i="3"/>
  <c r="J595" i="3"/>
  <c r="M595" i="3"/>
  <c r="N595" i="3" s="1"/>
  <c r="W595" i="3" l="1"/>
  <c r="L595" i="3"/>
  <c r="P596" i="3"/>
  <c r="Q596" i="3" s="1"/>
  <c r="R596" i="3" s="1"/>
  <c r="S596" i="3" s="1"/>
  <c r="AA596" i="3"/>
  <c r="AC596" i="3"/>
  <c r="AD596" i="3"/>
  <c r="Z596" i="3"/>
  <c r="T596" i="3" l="1"/>
  <c r="AG596" i="3" s="1"/>
  <c r="U595" i="3"/>
  <c r="Y594" i="3"/>
  <c r="D596" i="3" l="1"/>
  <c r="E596" i="3"/>
  <c r="H596" i="3" s="1"/>
  <c r="AH596" i="3"/>
  <c r="F596" i="3" l="1"/>
  <c r="G596" i="3"/>
  <c r="K596" i="3"/>
  <c r="AE596" i="3" s="1"/>
  <c r="V596" i="3" l="1"/>
  <c r="A597" i="3"/>
  <c r="B597" i="3" s="1"/>
  <c r="I596" i="3"/>
  <c r="J596" i="3"/>
  <c r="M596" i="3"/>
  <c r="N596" i="3" s="1"/>
  <c r="W596" i="3" l="1"/>
  <c r="L596" i="3"/>
  <c r="Z597" i="3"/>
  <c r="P597" i="3"/>
  <c r="Q597" i="3" s="1"/>
  <c r="R597" i="3" s="1"/>
  <c r="S597" i="3" s="1"/>
  <c r="AA597" i="3"/>
  <c r="AC597" i="3"/>
  <c r="U596" i="3" l="1"/>
  <c r="Y595" i="3"/>
  <c r="T597" i="3"/>
  <c r="E597" i="3" l="1"/>
  <c r="H597" i="3" s="1"/>
  <c r="K597" i="3" s="1"/>
  <c r="AE597" i="3" s="1"/>
  <c r="AH597" i="3"/>
  <c r="AG597" i="3"/>
  <c r="D597" i="3"/>
  <c r="G597" i="3" s="1"/>
  <c r="F597" i="3" l="1"/>
  <c r="I597" i="3"/>
  <c r="J597" i="3"/>
  <c r="AD597" i="3" s="1"/>
  <c r="M597" i="3"/>
  <c r="N597" i="3" s="1"/>
  <c r="V597" i="3"/>
  <c r="A598" i="3"/>
  <c r="B598" i="3" s="1"/>
  <c r="W597" i="3" l="1"/>
  <c r="L597" i="3"/>
  <c r="AC598" i="3"/>
  <c r="P598" i="3"/>
  <c r="Q598" i="3" s="1"/>
  <c r="R598" i="3" s="1"/>
  <c r="S598" i="3" s="1"/>
  <c r="Z598" i="3"/>
  <c r="AA598" i="3"/>
  <c r="AD598" i="3"/>
  <c r="U597" i="3" l="1"/>
  <c r="Y596" i="3"/>
  <c r="T598" i="3"/>
  <c r="AG598" i="3" s="1"/>
  <c r="AH598" i="3" l="1"/>
  <c r="E598" i="3"/>
  <c r="H598" i="3" s="1"/>
  <c r="K598" i="3" s="1"/>
  <c r="AE598" i="3" s="1"/>
  <c r="D598" i="3"/>
  <c r="V598" i="3" l="1"/>
  <c r="A599" i="3"/>
  <c r="B599" i="3" s="1"/>
  <c r="F598" i="3"/>
  <c r="G598" i="3"/>
  <c r="I598" i="3" l="1"/>
  <c r="W598" i="3" s="1"/>
  <c r="J598" i="3"/>
  <c r="M598" i="3"/>
  <c r="N598" i="3" s="1"/>
  <c r="AC599" i="3"/>
  <c r="AA599" i="3"/>
  <c r="P599" i="3"/>
  <c r="Q599" i="3" s="1"/>
  <c r="R599" i="3" s="1"/>
  <c r="S599" i="3" s="1"/>
  <c r="AD599" i="3"/>
  <c r="Z599" i="3"/>
  <c r="T599" i="3" l="1"/>
  <c r="L598" i="3"/>
  <c r="U598" i="3" l="1"/>
  <c r="D599" i="3" s="1"/>
  <c r="AG599" i="3"/>
  <c r="AH599" i="3"/>
  <c r="Y597" i="3"/>
  <c r="G599" i="3" l="1"/>
  <c r="E599" i="3"/>
  <c r="H599" i="3" s="1"/>
  <c r="I599" i="3" l="1"/>
  <c r="J599" i="3"/>
  <c r="M599" i="3"/>
  <c r="N599" i="3" s="1"/>
  <c r="K599" i="3"/>
  <c r="AE599" i="3" s="1"/>
  <c r="F599" i="3"/>
  <c r="V599" i="3" l="1"/>
  <c r="W599" i="3" s="1"/>
  <c r="A600" i="3"/>
  <c r="B600" i="3" s="1"/>
  <c r="L599" i="3"/>
  <c r="U599" i="3" l="1"/>
  <c r="Y598" i="3"/>
  <c r="AC600" i="3"/>
  <c r="P600" i="3"/>
  <c r="Q600" i="3" s="1"/>
  <c r="R600" i="3" s="1"/>
  <c r="S600" i="3" s="1"/>
  <c r="Z600" i="3"/>
  <c r="AA600" i="3"/>
  <c r="AD600" i="3"/>
  <c r="T600" i="3" l="1"/>
  <c r="E600" i="3" s="1"/>
  <c r="H600" i="3" s="1"/>
  <c r="AH600" i="3" l="1"/>
  <c r="K600" i="3"/>
  <c r="AE600" i="3" s="1"/>
  <c r="AG600" i="3"/>
  <c r="D600" i="3"/>
  <c r="V600" i="3" l="1"/>
  <c r="A601" i="3"/>
  <c r="B601" i="3" s="1"/>
  <c r="F600" i="3"/>
  <c r="G600" i="3"/>
  <c r="I600" i="3" l="1"/>
  <c r="W600" i="3" s="1"/>
  <c r="J600" i="3"/>
  <c r="M600" i="3"/>
  <c r="N600" i="3" s="1"/>
  <c r="P601" i="3"/>
  <c r="Q601" i="3" s="1"/>
  <c r="R601" i="3" s="1"/>
  <c r="S601" i="3" s="1"/>
  <c r="AA601" i="3"/>
  <c r="AC601" i="3"/>
  <c r="Z601" i="3"/>
  <c r="T601" i="3" l="1"/>
  <c r="L600" i="3"/>
  <c r="AH601" i="3" l="1"/>
  <c r="U600" i="3"/>
  <c r="D601" i="3" s="1"/>
  <c r="AG601" i="3"/>
  <c r="Y599" i="3"/>
  <c r="E601" i="3" l="1"/>
  <c r="H601" i="3" s="1"/>
  <c r="K601" i="3" s="1"/>
  <c r="AE601" i="3" s="1"/>
  <c r="G601" i="3"/>
  <c r="F601" i="3" l="1"/>
  <c r="I601" i="3"/>
  <c r="J601" i="3"/>
  <c r="AD601" i="3" s="1"/>
  <c r="M601" i="3"/>
  <c r="N601" i="3" s="1"/>
  <c r="V601" i="3"/>
  <c r="A602" i="3"/>
  <c r="B602" i="3" s="1"/>
  <c r="W601" i="3" l="1"/>
  <c r="L601" i="3"/>
  <c r="P602" i="3"/>
  <c r="Q602" i="3" s="1"/>
  <c r="R602" i="3" s="1"/>
  <c r="S602" i="3" s="1"/>
  <c r="Z602" i="3"/>
  <c r="AC602" i="3"/>
  <c r="AD602" i="3"/>
  <c r="AA602" i="3"/>
  <c r="U601" i="3" l="1"/>
  <c r="Y600" i="3"/>
  <c r="T602" i="3"/>
  <c r="AG602" i="3" s="1"/>
  <c r="D602" i="3" l="1"/>
  <c r="E602" i="3"/>
  <c r="H602" i="3" s="1"/>
  <c r="AH602" i="3"/>
  <c r="K602" i="3" l="1"/>
  <c r="AE602" i="3" s="1"/>
  <c r="F602" i="3"/>
  <c r="G602" i="3"/>
  <c r="I602" i="3" l="1"/>
  <c r="J602" i="3"/>
  <c r="M602" i="3"/>
  <c r="N602" i="3" s="1"/>
  <c r="V602" i="3"/>
  <c r="A603" i="3"/>
  <c r="B603" i="3" s="1"/>
  <c r="W602" i="3" l="1"/>
  <c r="L602" i="3"/>
  <c r="AA603" i="3"/>
  <c r="AC603" i="3"/>
  <c r="AD603" i="3"/>
  <c r="Z603" i="3"/>
  <c r="P603" i="3"/>
  <c r="Q603" i="3" s="1"/>
  <c r="R603" i="3" s="1"/>
  <c r="S603" i="3" s="1"/>
  <c r="U602" i="3" l="1"/>
  <c r="Y601" i="3"/>
  <c r="T603" i="3"/>
  <c r="AG603" i="3" s="1"/>
  <c r="AH603" i="3" l="1"/>
  <c r="D603" i="3"/>
  <c r="G603" i="3" s="1"/>
  <c r="E603" i="3"/>
  <c r="H603" i="3" s="1"/>
  <c r="K603" i="3" s="1"/>
  <c r="AE603" i="3" s="1"/>
  <c r="F603" i="3" l="1"/>
  <c r="I603" i="3"/>
  <c r="J603" i="3"/>
  <c r="M603" i="3"/>
  <c r="N603" i="3" s="1"/>
  <c r="V603" i="3"/>
  <c r="A604" i="3"/>
  <c r="B604" i="3" s="1"/>
  <c r="W603" i="3" l="1"/>
  <c r="L603" i="3"/>
  <c r="AC604" i="3"/>
  <c r="Z604" i="3"/>
  <c r="AA604" i="3"/>
  <c r="P604" i="3"/>
  <c r="Q604" i="3" s="1"/>
  <c r="R604" i="3" s="1"/>
  <c r="S604" i="3" s="1"/>
  <c r="U603" i="3" l="1"/>
  <c r="Y602" i="3"/>
  <c r="T604" i="3"/>
  <c r="AH604" i="3" s="1"/>
  <c r="D604" i="3" l="1"/>
  <c r="E604" i="3"/>
  <c r="H604" i="3" s="1"/>
  <c r="AG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W604" i="3" l="1"/>
  <c r="L604" i="3"/>
  <c r="P605" i="3"/>
  <c r="Q605" i="3" s="1"/>
  <c r="R605" i="3" s="1"/>
  <c r="S605" i="3" s="1"/>
  <c r="Z605" i="3"/>
  <c r="AA605" i="3"/>
  <c r="AD605" i="3"/>
  <c r="AC605" i="3"/>
  <c r="U604" i="3" l="1"/>
  <c r="Y603" i="3"/>
  <c r="T605" i="3"/>
  <c r="AG605" i="3" s="1"/>
  <c r="AH605" i="3" l="1"/>
  <c r="D605" i="3"/>
  <c r="E605" i="3"/>
  <c r="H605" i="3" s="1"/>
  <c r="K605" i="3" s="1"/>
  <c r="AE605" i="3" s="1"/>
  <c r="F605" i="3" l="1"/>
  <c r="G605" i="3"/>
  <c r="M605" i="3" s="1"/>
  <c r="N605" i="3" s="1"/>
  <c r="V605" i="3"/>
  <c r="A606" i="3"/>
  <c r="B606" i="3" s="1"/>
  <c r="I605" i="3" l="1"/>
  <c r="W605" i="3" s="1"/>
  <c r="J605" i="3"/>
  <c r="L605" i="3" s="1"/>
  <c r="P606" i="3"/>
  <c r="Q606" i="3" s="1"/>
  <c r="R606" i="3" s="1"/>
  <c r="S606" i="3" s="1"/>
  <c r="AC606" i="3"/>
  <c r="AD606" i="3"/>
  <c r="AA606" i="3"/>
  <c r="Z606" i="3"/>
  <c r="U605" i="3" l="1"/>
  <c r="Y604" i="3"/>
  <c r="T606" i="3"/>
  <c r="AG606" i="3" s="1"/>
  <c r="E606" i="3" l="1"/>
  <c r="H606" i="3" s="1"/>
  <c r="AH606" i="3"/>
  <c r="D606" i="3"/>
  <c r="F606" i="3" l="1"/>
  <c r="G606" i="3"/>
  <c r="K606" i="3"/>
  <c r="AE606" i="3" s="1"/>
  <c r="I606" i="3" l="1"/>
  <c r="J606" i="3"/>
  <c r="M606" i="3"/>
  <c r="N606" i="3" s="1"/>
  <c r="V606" i="3"/>
  <c r="A607" i="3"/>
  <c r="B607" i="3" s="1"/>
  <c r="W606" i="3" l="1"/>
  <c r="L606" i="3"/>
  <c r="Z607" i="3"/>
  <c r="AC607" i="3"/>
  <c r="P607" i="3"/>
  <c r="Q607" i="3" s="1"/>
  <c r="R607" i="3" s="1"/>
  <c r="S607" i="3" s="1"/>
  <c r="AA607" i="3"/>
  <c r="U606" i="3" l="1"/>
  <c r="Y605" i="3"/>
  <c r="T607" i="3"/>
  <c r="AH607" i="3" s="1"/>
  <c r="E607" i="3" l="1"/>
  <c r="H607" i="3" s="1"/>
  <c r="K607" i="3" s="1"/>
  <c r="AE607" i="3" s="1"/>
  <c r="D607" i="3"/>
  <c r="AG607" i="3"/>
  <c r="V607" i="3" l="1"/>
  <c r="A608" i="3"/>
  <c r="B608" i="3" s="1"/>
  <c r="F607" i="3"/>
  <c r="G607" i="3"/>
  <c r="I607" i="3" l="1"/>
  <c r="W607" i="3" s="1"/>
  <c r="J607" i="3"/>
  <c r="AD607" i="3" s="1"/>
  <c r="M607" i="3"/>
  <c r="N607" i="3" s="1"/>
  <c r="AD608" i="3"/>
  <c r="AA608" i="3"/>
  <c r="P608" i="3"/>
  <c r="Q608" i="3" s="1"/>
  <c r="R608" i="3" s="1"/>
  <c r="S608" i="3" s="1"/>
  <c r="Z608" i="3"/>
  <c r="AC608" i="3"/>
  <c r="T608" i="3" l="1"/>
  <c r="L607" i="3"/>
  <c r="AH608" i="3" l="1"/>
  <c r="AG608" i="3"/>
  <c r="U607" i="3"/>
  <c r="E608" i="3" s="1"/>
  <c r="H608" i="3" s="1"/>
  <c r="Y606" i="3"/>
  <c r="D608" i="3" l="1"/>
  <c r="G608" i="3" s="1"/>
  <c r="K608" i="3"/>
  <c r="AE608" i="3" s="1"/>
  <c r="F608" i="3" l="1"/>
  <c r="I608" i="3"/>
  <c r="J608" i="3"/>
  <c r="M608" i="3"/>
  <c r="N608" i="3" s="1"/>
  <c r="V608" i="3"/>
  <c r="A609" i="3"/>
  <c r="B609" i="3" s="1"/>
  <c r="L608" i="3" l="1"/>
  <c r="W608" i="3"/>
  <c r="Z609" i="3"/>
  <c r="P609" i="3"/>
  <c r="Q609" i="3" s="1"/>
  <c r="R609" i="3" s="1"/>
  <c r="S609" i="3" s="1"/>
  <c r="AC609" i="3"/>
  <c r="AA609" i="3"/>
  <c r="AD609" i="3"/>
  <c r="U608" i="3" l="1"/>
  <c r="Y607" i="3"/>
  <c r="T609" i="3"/>
  <c r="AG609" i="3" s="1"/>
  <c r="E609" i="3" l="1"/>
  <c r="H609" i="3" s="1"/>
  <c r="D609" i="3"/>
  <c r="AH609" i="3"/>
  <c r="K609" i="3" l="1"/>
  <c r="AE609" i="3" s="1"/>
  <c r="F609" i="3"/>
  <c r="G609" i="3"/>
  <c r="I609" i="3" l="1"/>
  <c r="J609" i="3"/>
  <c r="M609" i="3"/>
  <c r="N609" i="3" s="1"/>
  <c r="V609" i="3"/>
  <c r="A610" i="3"/>
  <c r="B610" i="3" s="1"/>
  <c r="L609" i="3" l="1"/>
  <c r="W609" i="3"/>
  <c r="AA610" i="3"/>
  <c r="P610" i="3"/>
  <c r="Q610" i="3" s="1"/>
  <c r="R610" i="3" s="1"/>
  <c r="S610" i="3" s="1"/>
  <c r="Z610" i="3"/>
  <c r="AC610" i="3"/>
  <c r="AD610" i="3"/>
  <c r="U609" i="3" l="1"/>
  <c r="Y608" i="3"/>
  <c r="T610" i="3"/>
  <c r="AG610" i="3" s="1"/>
  <c r="AH610" i="3" l="1"/>
  <c r="D610" i="3"/>
  <c r="G610" i="3" s="1"/>
  <c r="E610" i="3"/>
  <c r="H610" i="3" s="1"/>
  <c r="K610" i="3" s="1"/>
  <c r="AE610" i="3" s="1"/>
  <c r="F610" i="3" l="1"/>
  <c r="I610" i="3"/>
  <c r="J610" i="3"/>
  <c r="M610" i="3"/>
  <c r="N610" i="3" s="1"/>
  <c r="V610" i="3"/>
  <c r="A611" i="3"/>
  <c r="B611" i="3" s="1"/>
  <c r="W610" i="3" l="1"/>
  <c r="L610" i="3"/>
  <c r="AA611" i="3"/>
  <c r="P611" i="3"/>
  <c r="Q611" i="3" s="1"/>
  <c r="R611" i="3" s="1"/>
  <c r="S611" i="3" s="1"/>
  <c r="AC611" i="3"/>
  <c r="Z611" i="3"/>
  <c r="T611" i="3" l="1"/>
  <c r="U610" i="3"/>
  <c r="Y609" i="3"/>
  <c r="E611" i="3" l="1"/>
  <c r="H611" i="3" s="1"/>
  <c r="K611" i="3" s="1"/>
  <c r="AE611" i="3" s="1"/>
  <c r="AH611" i="3"/>
  <c r="AG611" i="3"/>
  <c r="D611" i="3"/>
  <c r="V611" i="3" l="1"/>
  <c r="A612" i="3"/>
  <c r="B612" i="3" s="1"/>
  <c r="F611" i="3"/>
  <c r="G611" i="3"/>
  <c r="I611" i="3" l="1"/>
  <c r="W611" i="3" s="1"/>
  <c r="J611" i="3"/>
  <c r="AD611" i="3" s="1"/>
  <c r="M611" i="3"/>
  <c r="N611" i="3" s="1"/>
  <c r="Z612" i="3"/>
  <c r="P612" i="3"/>
  <c r="Q612" i="3" s="1"/>
  <c r="R612" i="3" s="1"/>
  <c r="S612" i="3" s="1"/>
  <c r="AD612" i="3"/>
  <c r="AC612" i="3"/>
  <c r="AA612" i="3"/>
  <c r="T612" i="3" l="1"/>
  <c r="L611" i="3"/>
  <c r="U611" i="3" l="1"/>
  <c r="E612" i="3" s="1"/>
  <c r="H612" i="3" s="1"/>
  <c r="AH612" i="3"/>
  <c r="AG612" i="3"/>
  <c r="Y610" i="3"/>
  <c r="D612" i="3" l="1"/>
  <c r="G612" i="3" s="1"/>
  <c r="K612" i="3"/>
  <c r="AE612" i="3" s="1"/>
  <c r="F612" i="3" l="1"/>
  <c r="V612" i="3"/>
  <c r="A613" i="3"/>
  <c r="B613" i="3" s="1"/>
  <c r="I612" i="3"/>
  <c r="J612" i="3"/>
  <c r="M612" i="3"/>
  <c r="N612" i="3" s="1"/>
  <c r="W612" i="3" l="1"/>
  <c r="L612" i="3"/>
  <c r="P613" i="3"/>
  <c r="Q613" i="3" s="1"/>
  <c r="R613" i="3" s="1"/>
  <c r="S613" i="3" s="1"/>
  <c r="AD613" i="3"/>
  <c r="AA613" i="3"/>
  <c r="Z613" i="3"/>
  <c r="AC613" i="3"/>
  <c r="U612" i="3" l="1"/>
  <c r="Y611" i="3"/>
  <c r="T613" i="3"/>
  <c r="AG613" i="3" s="1"/>
  <c r="D613" i="3" l="1"/>
  <c r="AH613" i="3"/>
  <c r="E613" i="3"/>
  <c r="H613" i="3" s="1"/>
  <c r="F613" i="3" l="1"/>
  <c r="G613" i="3"/>
  <c r="K613" i="3"/>
  <c r="AE613" i="3" s="1"/>
  <c r="V613" i="3" l="1"/>
  <c r="A614" i="3"/>
  <c r="B614" i="3" s="1"/>
  <c r="I613" i="3"/>
  <c r="J613" i="3"/>
  <c r="M613" i="3"/>
  <c r="N613" i="3" s="1"/>
  <c r="W613" i="3" l="1"/>
  <c r="L613" i="3"/>
  <c r="AC614" i="3"/>
  <c r="AA614" i="3"/>
  <c r="Z614" i="3"/>
  <c r="P614" i="3"/>
  <c r="Q614" i="3" s="1"/>
  <c r="R614" i="3" s="1"/>
  <c r="S614" i="3" s="1"/>
  <c r="U613" i="3" l="1"/>
  <c r="Y612" i="3"/>
  <c r="T614" i="3"/>
  <c r="AG614" i="3" s="1"/>
  <c r="D614" i="3" l="1"/>
  <c r="G614" i="3" s="1"/>
  <c r="E614" i="3"/>
  <c r="H614" i="3" s="1"/>
  <c r="K614" i="3" s="1"/>
  <c r="AE614" i="3" s="1"/>
  <c r="AH614" i="3"/>
  <c r="F614" i="3" l="1"/>
  <c r="I614" i="3"/>
  <c r="J614" i="3"/>
  <c r="AD614" i="3" s="1"/>
  <c r="M614" i="3"/>
  <c r="N614" i="3" s="1"/>
  <c r="V614" i="3"/>
  <c r="A615" i="3"/>
  <c r="B615" i="3" s="1"/>
  <c r="L614" i="3" l="1"/>
  <c r="W614" i="3"/>
  <c r="P615" i="3"/>
  <c r="Q615" i="3" s="1"/>
  <c r="R615" i="3" s="1"/>
  <c r="S615" i="3" s="1"/>
  <c r="AC615" i="3"/>
  <c r="Z615" i="3"/>
  <c r="AA615" i="3"/>
  <c r="AD615" i="3"/>
  <c r="U614" i="3" l="1"/>
  <c r="Y613" i="3"/>
  <c r="T615" i="3"/>
  <c r="AH615" i="3" s="1"/>
  <c r="E615" i="3" l="1"/>
  <c r="H615" i="3" s="1"/>
  <c r="K615" i="3" s="1"/>
  <c r="AE615" i="3" s="1"/>
  <c r="AG615" i="3"/>
  <c r="D615" i="3"/>
  <c r="F615" i="3" l="1"/>
  <c r="G615" i="3"/>
  <c r="V615" i="3"/>
  <c r="A616" i="3"/>
  <c r="B616" i="3" s="1"/>
  <c r="AD616" i="3" l="1"/>
  <c r="P616" i="3"/>
  <c r="Q616" i="3" s="1"/>
  <c r="R616" i="3" s="1"/>
  <c r="S616" i="3" s="1"/>
  <c r="Z616" i="3"/>
  <c r="AC616" i="3"/>
  <c r="AA616" i="3"/>
  <c r="I615" i="3"/>
  <c r="W615" i="3" s="1"/>
  <c r="J615" i="3"/>
  <c r="M615" i="3"/>
  <c r="N615" i="3" s="1"/>
  <c r="L615" i="3" l="1"/>
  <c r="T616" i="3"/>
  <c r="U615" i="3" l="1"/>
  <c r="D616" i="3" s="1"/>
  <c r="AH616" i="3"/>
  <c r="AG616" i="3"/>
  <c r="Y614" i="3"/>
  <c r="E616" i="3" l="1"/>
  <c r="H616" i="3" s="1"/>
  <c r="K616" i="3" s="1"/>
  <c r="AE616" i="3" s="1"/>
  <c r="G616" i="3"/>
  <c r="F616" i="3" l="1"/>
  <c r="I616" i="3"/>
  <c r="J616" i="3"/>
  <c r="M616" i="3"/>
  <c r="N616" i="3" s="1"/>
  <c r="V616" i="3"/>
  <c r="A617" i="3"/>
  <c r="B617" i="3" s="1"/>
  <c r="W616" i="3" l="1"/>
  <c r="L616" i="3"/>
  <c r="Z617" i="3"/>
  <c r="AC617" i="3"/>
  <c r="P617" i="3"/>
  <c r="Q617" i="3" s="1"/>
  <c r="R617" i="3" s="1"/>
  <c r="S617" i="3" s="1"/>
  <c r="AA617" i="3"/>
  <c r="U616" i="3" l="1"/>
  <c r="Y615" i="3"/>
  <c r="T617" i="3"/>
  <c r="AG617" i="3" s="1"/>
  <c r="D617" i="3" l="1"/>
  <c r="G617" i="3" s="1"/>
  <c r="E617" i="3"/>
  <c r="H617" i="3" s="1"/>
  <c r="K617" i="3" s="1"/>
  <c r="AE617" i="3" s="1"/>
  <c r="AH617" i="3"/>
  <c r="F617" i="3" l="1"/>
  <c r="I617" i="3"/>
  <c r="J617" i="3"/>
  <c r="AD617" i="3" s="1"/>
  <c r="M617" i="3"/>
  <c r="N617" i="3" s="1"/>
  <c r="V617" i="3"/>
  <c r="A618" i="3"/>
  <c r="B618" i="3" s="1"/>
  <c r="W617" i="3" l="1"/>
  <c r="L617" i="3"/>
  <c r="P618" i="3"/>
  <c r="Q618" i="3" s="1"/>
  <c r="R618" i="3" s="1"/>
  <c r="S618" i="3" s="1"/>
  <c r="AD618" i="3"/>
  <c r="Z618" i="3"/>
  <c r="AC618" i="3"/>
  <c r="AA618" i="3"/>
  <c r="U617" i="3" l="1"/>
  <c r="Y616" i="3"/>
  <c r="T618" i="3"/>
  <c r="E618" i="3" l="1"/>
  <c r="H618" i="3" s="1"/>
  <c r="K618" i="3" s="1"/>
  <c r="AE618" i="3" s="1"/>
  <c r="AG618" i="3"/>
  <c r="D618" i="3"/>
  <c r="AH618" i="3"/>
  <c r="F618" i="3" l="1"/>
  <c r="G618" i="3"/>
  <c r="V618" i="3"/>
  <c r="A619" i="3"/>
  <c r="B619" i="3" s="1"/>
  <c r="P619" i="3" l="1"/>
  <c r="Q619" i="3" s="1"/>
  <c r="R619" i="3" s="1"/>
  <c r="S619" i="3" s="1"/>
  <c r="AD619" i="3"/>
  <c r="AA619" i="3"/>
  <c r="AC619" i="3"/>
  <c r="Z619" i="3"/>
  <c r="I618" i="3"/>
  <c r="W618" i="3" s="1"/>
  <c r="J618" i="3"/>
  <c r="M618" i="3"/>
  <c r="N618" i="3" s="1"/>
  <c r="T619" i="3" l="1"/>
  <c r="L618" i="3"/>
  <c r="AH619" i="3" l="1"/>
  <c r="AG619" i="3"/>
  <c r="U618" i="3"/>
  <c r="D619" i="3" s="1"/>
  <c r="Y617" i="3"/>
  <c r="E619" i="3" l="1"/>
  <c r="H619" i="3" s="1"/>
  <c r="K619" i="3" s="1"/>
  <c r="AE619" i="3" s="1"/>
  <c r="G619" i="3"/>
  <c r="F619" i="3" l="1"/>
  <c r="I619" i="3"/>
  <c r="J619" i="3"/>
  <c r="M619" i="3"/>
  <c r="N619" i="3" s="1"/>
  <c r="V619" i="3"/>
  <c r="A620" i="3"/>
  <c r="B620" i="3" s="1"/>
  <c r="W619" i="3" l="1"/>
  <c r="L619" i="3"/>
  <c r="AC620" i="3"/>
  <c r="AD620" i="3"/>
  <c r="P620" i="3"/>
  <c r="Q620" i="3" s="1"/>
  <c r="R620" i="3" s="1"/>
  <c r="S620" i="3" s="1"/>
  <c r="AA620" i="3"/>
  <c r="Z620" i="3"/>
  <c r="T620" i="3" l="1"/>
  <c r="AH620" i="3" s="1"/>
  <c r="U619" i="3"/>
  <c r="Y618" i="3"/>
  <c r="E620" i="3" l="1"/>
  <c r="H620" i="3" s="1"/>
  <c r="K620" i="3" s="1"/>
  <c r="AE620" i="3" s="1"/>
  <c r="D620" i="3"/>
  <c r="G620" i="3" s="1"/>
  <c r="AG620" i="3"/>
  <c r="F620" i="3" l="1"/>
  <c r="I620" i="3"/>
  <c r="J620" i="3"/>
  <c r="M620" i="3"/>
  <c r="N620" i="3" s="1"/>
  <c r="V620" i="3"/>
  <c r="A621" i="3"/>
  <c r="B621" i="3" s="1"/>
  <c r="W620" i="3" l="1"/>
  <c r="L620" i="3"/>
  <c r="AC621" i="3"/>
  <c r="AA621" i="3"/>
  <c r="P621" i="3"/>
  <c r="Q621" i="3" s="1"/>
  <c r="R621" i="3" s="1"/>
  <c r="S621" i="3" s="1"/>
  <c r="Z621" i="3"/>
  <c r="U620" i="3" l="1"/>
  <c r="Y619" i="3"/>
  <c r="T621" i="3"/>
  <c r="D621" i="3" l="1"/>
  <c r="G621" i="3" s="1"/>
  <c r="AH621" i="3"/>
  <c r="E621" i="3"/>
  <c r="H621" i="3" s="1"/>
  <c r="AG621" i="3"/>
  <c r="F621" i="3" l="1"/>
  <c r="I621" i="3"/>
  <c r="J621" i="3"/>
  <c r="AD621" i="3" s="1"/>
  <c r="M621" i="3"/>
  <c r="N621" i="3" s="1"/>
  <c r="K621" i="3"/>
  <c r="AE621" i="3" s="1"/>
  <c r="V621" i="3" l="1"/>
  <c r="W621" i="3" s="1"/>
  <c r="A622" i="3"/>
  <c r="B622" i="3" s="1"/>
  <c r="L621" i="3"/>
  <c r="U621" i="3" l="1"/>
  <c r="Y620" i="3"/>
  <c r="AA622" i="3"/>
  <c r="AC622" i="3"/>
  <c r="P622" i="3"/>
  <c r="Q622" i="3" s="1"/>
  <c r="R622" i="3" s="1"/>
  <c r="S622" i="3" s="1"/>
  <c r="Z622" i="3"/>
  <c r="AD622" i="3"/>
  <c r="T622" i="3" l="1"/>
  <c r="AG622" i="3" s="1"/>
  <c r="D622" i="3" l="1"/>
  <c r="E622" i="3"/>
  <c r="H622" i="3" s="1"/>
  <c r="K622" i="3" s="1"/>
  <c r="AE622" i="3" s="1"/>
  <c r="AH622" i="3"/>
  <c r="F622" i="3" l="1"/>
  <c r="G622" i="3"/>
  <c r="I622" i="3" s="1"/>
  <c r="V622" i="3"/>
  <c r="A623" i="3"/>
  <c r="B623" i="3" s="1"/>
  <c r="M622" i="3" l="1"/>
  <c r="N622" i="3" s="1"/>
  <c r="J622" i="3"/>
  <c r="L622" i="3" s="1"/>
  <c r="W622" i="3"/>
  <c r="P623" i="3"/>
  <c r="Q623" i="3" s="1"/>
  <c r="R623" i="3" s="1"/>
  <c r="S623" i="3" s="1"/>
  <c r="Z623" i="3"/>
  <c r="AD623" i="3"/>
  <c r="AA623" i="3"/>
  <c r="AC623" i="3"/>
  <c r="U622" i="3" l="1"/>
  <c r="Y621" i="3"/>
  <c r="T623" i="3"/>
  <c r="D623" i="3" l="1"/>
  <c r="G623" i="3" s="1"/>
  <c r="AH623" i="3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U623" i="3" l="1"/>
  <c r="Y622" i="3"/>
  <c r="AA624" i="3"/>
  <c r="Z624" i="3"/>
  <c r="AC624" i="3"/>
  <c r="P624" i="3"/>
  <c r="Q624" i="3" s="1"/>
  <c r="R624" i="3" s="1"/>
  <c r="S624" i="3" s="1"/>
  <c r="T624" i="3" l="1"/>
  <c r="D624" i="3" s="1"/>
  <c r="AG624" i="3" l="1"/>
  <c r="AH624" i="3"/>
  <c r="E624" i="3"/>
  <c r="H624" i="3" s="1"/>
  <c r="K624" i="3" s="1"/>
  <c r="AE624" i="3" s="1"/>
  <c r="G624" i="3"/>
  <c r="F624" i="3" l="1"/>
  <c r="I624" i="3"/>
  <c r="J624" i="3"/>
  <c r="AD624" i="3" s="1"/>
  <c r="M624" i="3"/>
  <c r="N624" i="3" s="1"/>
  <c r="V624" i="3"/>
  <c r="A625" i="3"/>
  <c r="B625" i="3" s="1"/>
  <c r="W624" i="3" l="1"/>
  <c r="L624" i="3"/>
  <c r="P625" i="3"/>
  <c r="Q625" i="3" s="1"/>
  <c r="R625" i="3" s="1"/>
  <c r="S625" i="3" s="1"/>
  <c r="AD625" i="3"/>
  <c r="AA625" i="3"/>
  <c r="Z625" i="3"/>
  <c r="AC625" i="3"/>
  <c r="U624" i="3" l="1"/>
  <c r="Y623" i="3"/>
  <c r="T625" i="3"/>
  <c r="D625" i="3" l="1"/>
  <c r="G625" i="3" s="1"/>
  <c r="E625" i="3"/>
  <c r="H625" i="3" s="1"/>
  <c r="AH625" i="3"/>
  <c r="AG625" i="3"/>
  <c r="F625" i="3" l="1"/>
  <c r="I625" i="3"/>
  <c r="J625" i="3"/>
  <c r="M625" i="3"/>
  <c r="N625" i="3" s="1"/>
  <c r="K625" i="3"/>
  <c r="AE625" i="3" s="1"/>
  <c r="V625" i="3" l="1"/>
  <c r="W625" i="3" s="1"/>
  <c r="A626" i="3"/>
  <c r="B626" i="3" s="1"/>
  <c r="L625" i="3"/>
  <c r="U625" i="3" l="1"/>
  <c r="Y624" i="3"/>
  <c r="AD626" i="3"/>
  <c r="Z626" i="3"/>
  <c r="AC626" i="3"/>
  <c r="P626" i="3"/>
  <c r="Q626" i="3" s="1"/>
  <c r="R626" i="3" s="1"/>
  <c r="S626" i="3" s="1"/>
  <c r="AA626" i="3"/>
  <c r="T626" i="3" l="1"/>
  <c r="E626" i="3" s="1"/>
  <c r="H626" i="3" s="1"/>
  <c r="AG626" i="3" l="1"/>
  <c r="K626" i="3"/>
  <c r="AE626" i="3" s="1"/>
  <c r="D626" i="3"/>
  <c r="AH626" i="3"/>
  <c r="V626" i="3" l="1"/>
  <c r="A627" i="3"/>
  <c r="B627" i="3" s="1"/>
  <c r="F626" i="3"/>
  <c r="G626" i="3"/>
  <c r="I626" i="3" l="1"/>
  <c r="W626" i="3" s="1"/>
  <c r="J626" i="3"/>
  <c r="M626" i="3"/>
  <c r="N626" i="3" s="1"/>
  <c r="Z627" i="3"/>
  <c r="P627" i="3"/>
  <c r="Q627" i="3" s="1"/>
  <c r="R627" i="3" s="1"/>
  <c r="S627" i="3" s="1"/>
  <c r="AC627" i="3"/>
  <c r="AA627" i="3"/>
  <c r="L626" i="3" l="1"/>
  <c r="T627" i="3"/>
  <c r="AG627" i="3" l="1"/>
  <c r="U626" i="3"/>
  <c r="D627" i="3" s="1"/>
  <c r="AH627" i="3"/>
  <c r="Y625" i="3"/>
  <c r="G627" i="3" l="1"/>
  <c r="E627" i="3"/>
  <c r="H627" i="3" s="1"/>
  <c r="K627" i="3" l="1"/>
  <c r="AE627" i="3" s="1"/>
  <c r="I627" i="3"/>
  <c r="J627" i="3"/>
  <c r="AD627" i="3" s="1"/>
  <c r="M627" i="3"/>
  <c r="N627" i="3" s="1"/>
  <c r="F627" i="3"/>
  <c r="L627" i="3" l="1"/>
  <c r="V627" i="3"/>
  <c r="W627" i="3" s="1"/>
  <c r="A628" i="3"/>
  <c r="B628" i="3" s="1"/>
  <c r="Z628" i="3" l="1"/>
  <c r="AA628" i="3"/>
  <c r="P628" i="3"/>
  <c r="Q628" i="3" s="1"/>
  <c r="R628" i="3" s="1"/>
  <c r="S628" i="3" s="1"/>
  <c r="AC628" i="3"/>
  <c r="AD628" i="3"/>
  <c r="U627" i="3"/>
  <c r="Y626" i="3"/>
  <c r="T628" i="3" l="1"/>
  <c r="D628" i="3" l="1"/>
  <c r="E628" i="3"/>
  <c r="H628" i="3" s="1"/>
  <c r="AG628" i="3"/>
  <c r="AH628" i="3"/>
  <c r="F628" i="3" l="1"/>
  <c r="G628" i="3"/>
  <c r="K628" i="3"/>
  <c r="AE628" i="3" s="1"/>
  <c r="I628" i="3" l="1"/>
  <c r="J628" i="3"/>
  <c r="M628" i="3"/>
  <c r="N628" i="3" s="1"/>
  <c r="V628" i="3"/>
  <c r="A629" i="3"/>
  <c r="B629" i="3" s="1"/>
  <c r="W628" i="3" l="1"/>
  <c r="L628" i="3"/>
  <c r="AC629" i="3"/>
  <c r="AA629" i="3"/>
  <c r="P629" i="3"/>
  <c r="Q629" i="3" s="1"/>
  <c r="R629" i="3" s="1"/>
  <c r="S629" i="3" s="1"/>
  <c r="AD629" i="3"/>
  <c r="Z629" i="3"/>
  <c r="T629" i="3" l="1"/>
  <c r="U628" i="3"/>
  <c r="Y627" i="3"/>
  <c r="E629" i="3" l="1"/>
  <c r="H629" i="3" s="1"/>
  <c r="K629" i="3" s="1"/>
  <c r="AE629" i="3" s="1"/>
  <c r="AH629" i="3"/>
  <c r="AG629" i="3"/>
  <c r="D629" i="3"/>
  <c r="F629" i="3" l="1"/>
  <c r="G629" i="3"/>
  <c r="V629" i="3"/>
  <c r="A630" i="3"/>
  <c r="B630" i="3" s="1"/>
  <c r="I629" i="3" l="1"/>
  <c r="W629" i="3" s="1"/>
  <c r="J629" i="3"/>
  <c r="M629" i="3"/>
  <c r="N629" i="3" s="1"/>
  <c r="AD630" i="3"/>
  <c r="P630" i="3"/>
  <c r="Q630" i="3" s="1"/>
  <c r="R630" i="3" s="1"/>
  <c r="S630" i="3" s="1"/>
  <c r="AC630" i="3"/>
  <c r="AA630" i="3"/>
  <c r="Z630" i="3"/>
  <c r="T630" i="3" l="1"/>
  <c r="L629" i="3"/>
  <c r="U629" i="3" l="1"/>
  <c r="D630" i="3" s="1"/>
  <c r="AH630" i="3"/>
  <c r="AG630" i="3"/>
  <c r="Y628" i="3"/>
  <c r="G630" i="3" l="1"/>
  <c r="E630" i="3"/>
  <c r="H630" i="3" s="1"/>
  <c r="F630" i="3" l="1"/>
  <c r="K630" i="3"/>
  <c r="AE630" i="3" s="1"/>
  <c r="I630" i="3"/>
  <c r="J630" i="3"/>
  <c r="M630" i="3"/>
  <c r="N630" i="3" s="1"/>
  <c r="V630" i="3" l="1"/>
  <c r="W630" i="3" s="1"/>
  <c r="A631" i="3"/>
  <c r="B631" i="3" s="1"/>
  <c r="L630" i="3"/>
  <c r="U630" i="3" l="1"/>
  <c r="Y629" i="3"/>
  <c r="P631" i="3"/>
  <c r="Q631" i="3" s="1"/>
  <c r="R631" i="3" s="1"/>
  <c r="S631" i="3" s="1"/>
  <c r="AC631" i="3"/>
  <c r="AA631" i="3"/>
  <c r="Z631" i="3"/>
  <c r="T631" i="3" l="1"/>
  <c r="D631" i="3" s="1"/>
  <c r="AH631" i="3" l="1"/>
  <c r="E631" i="3"/>
  <c r="H631" i="3" s="1"/>
  <c r="K631" i="3" s="1"/>
  <c r="AE631" i="3" s="1"/>
  <c r="G631" i="3"/>
  <c r="AG631" i="3"/>
  <c r="F631" i="3" l="1"/>
  <c r="I631" i="3"/>
  <c r="J631" i="3"/>
  <c r="AD631" i="3" s="1"/>
  <c r="M631" i="3"/>
  <c r="N631" i="3" s="1"/>
  <c r="V631" i="3"/>
  <c r="A632" i="3"/>
  <c r="B632" i="3" s="1"/>
  <c r="L631" i="3" l="1"/>
  <c r="W631" i="3"/>
  <c r="AC632" i="3"/>
  <c r="AA632" i="3"/>
  <c r="Z632" i="3"/>
  <c r="P632" i="3"/>
  <c r="Q632" i="3" s="1"/>
  <c r="R632" i="3" s="1"/>
  <c r="S632" i="3" s="1"/>
  <c r="T632" i="3" l="1"/>
  <c r="U631" i="3"/>
  <c r="Y630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AD632" i="3" s="1"/>
  <c r="M632" i="3"/>
  <c r="N632" i="3" s="1"/>
  <c r="V632" i="3"/>
  <c r="A633" i="3"/>
  <c r="B633" i="3" s="1"/>
  <c r="W632" i="3" l="1"/>
  <c r="L632" i="3"/>
  <c r="Z633" i="3"/>
  <c r="AC633" i="3"/>
  <c r="P633" i="3"/>
  <c r="Q633" i="3" s="1"/>
  <c r="R633" i="3" s="1"/>
  <c r="S633" i="3" s="1"/>
  <c r="AA633" i="3"/>
  <c r="U632" i="3" l="1"/>
  <c r="Y631" i="3"/>
  <c r="T633" i="3"/>
  <c r="AG633" i="3" s="1"/>
  <c r="D633" i="3" l="1"/>
  <c r="G633" i="3" s="1"/>
  <c r="E633" i="3"/>
  <c r="H633" i="3" s="1"/>
  <c r="K633" i="3" s="1"/>
  <c r="AE633" i="3" s="1"/>
  <c r="AH633" i="3"/>
  <c r="F633" i="3" l="1"/>
  <c r="V633" i="3"/>
  <c r="A634" i="3"/>
  <c r="B634" i="3" s="1"/>
  <c r="I633" i="3"/>
  <c r="J633" i="3"/>
  <c r="AD633" i="3" s="1"/>
  <c r="M633" i="3"/>
  <c r="N633" i="3" s="1"/>
  <c r="L633" i="3" l="1"/>
  <c r="W633" i="3"/>
  <c r="P634" i="3"/>
  <c r="Q634" i="3" s="1"/>
  <c r="R634" i="3" s="1"/>
  <c r="S634" i="3" s="1"/>
  <c r="AA634" i="3"/>
  <c r="AC634" i="3"/>
  <c r="Z634" i="3"/>
  <c r="U633" i="3" l="1"/>
  <c r="Y632" i="3"/>
  <c r="T634" i="3"/>
  <c r="AH634" i="3" s="1"/>
  <c r="E634" i="3" l="1"/>
  <c r="H634" i="3" s="1"/>
  <c r="K634" i="3" s="1"/>
  <c r="AE634" i="3" s="1"/>
  <c r="AG634" i="3"/>
  <c r="D634" i="3"/>
  <c r="F634" i="3" l="1"/>
  <c r="G634" i="3"/>
  <c r="V634" i="3"/>
  <c r="A635" i="3"/>
  <c r="B635" i="3" s="1"/>
  <c r="Z635" i="3" l="1"/>
  <c r="AA635" i="3"/>
  <c r="P635" i="3"/>
  <c r="Q635" i="3" s="1"/>
  <c r="R635" i="3" s="1"/>
  <c r="S635" i="3" s="1"/>
  <c r="AC635" i="3"/>
  <c r="I634" i="3"/>
  <c r="W634" i="3" s="1"/>
  <c r="J634" i="3"/>
  <c r="AD634" i="3" s="1"/>
  <c r="M634" i="3"/>
  <c r="N634" i="3" s="1"/>
  <c r="T635" i="3" l="1"/>
  <c r="L634" i="3"/>
  <c r="AH635" i="3" l="1"/>
  <c r="U634" i="3"/>
  <c r="D635" i="3" s="1"/>
  <c r="AG635" i="3"/>
  <c r="Y633" i="3"/>
  <c r="E635" i="3" l="1"/>
  <c r="H635" i="3" s="1"/>
  <c r="K635" i="3" s="1"/>
  <c r="AE635" i="3" s="1"/>
  <c r="G635" i="3"/>
  <c r="F635" i="3" l="1"/>
  <c r="I635" i="3"/>
  <c r="J635" i="3"/>
  <c r="AD635" i="3" s="1"/>
  <c r="M635" i="3"/>
  <c r="N635" i="3" s="1"/>
  <c r="V635" i="3"/>
  <c r="A636" i="3"/>
  <c r="B636" i="3" s="1"/>
  <c r="W635" i="3" l="1"/>
  <c r="L635" i="3"/>
  <c r="AC636" i="3"/>
  <c r="AA636" i="3"/>
  <c r="P636" i="3"/>
  <c r="Q636" i="3" s="1"/>
  <c r="R636" i="3" s="1"/>
  <c r="S636" i="3" s="1"/>
  <c r="Z636" i="3"/>
  <c r="U635" i="3" l="1"/>
  <c r="Y634" i="3"/>
  <c r="T636" i="3"/>
  <c r="AG636" i="3" s="1"/>
  <c r="AH636" i="3" l="1"/>
  <c r="D636" i="3"/>
  <c r="E636" i="3"/>
  <c r="H636" i="3" s="1"/>
  <c r="F636" i="3" l="1"/>
  <c r="G636" i="3"/>
  <c r="K636" i="3"/>
  <c r="AE636" i="3" s="1"/>
  <c r="I636" i="3" l="1"/>
  <c r="J636" i="3"/>
  <c r="AD636" i="3" s="1"/>
  <c r="M636" i="3"/>
  <c r="N636" i="3" s="1"/>
  <c r="V636" i="3"/>
  <c r="A637" i="3"/>
  <c r="B637" i="3" s="1"/>
  <c r="W636" i="3" l="1"/>
  <c r="L636" i="3"/>
  <c r="Z637" i="3"/>
  <c r="P637" i="3"/>
  <c r="Q637" i="3" s="1"/>
  <c r="R637" i="3" s="1"/>
  <c r="S637" i="3" s="1"/>
  <c r="AC637" i="3"/>
  <c r="AA637" i="3"/>
  <c r="U636" i="3" l="1"/>
  <c r="Y635" i="3"/>
  <c r="T637" i="3"/>
  <c r="AG637" i="3" s="1"/>
  <c r="D637" i="3" l="1"/>
  <c r="AH637" i="3"/>
  <c r="E637" i="3"/>
  <c r="H637" i="3" s="1"/>
  <c r="F637" i="3" l="1"/>
  <c r="G637" i="3"/>
  <c r="K637" i="3"/>
  <c r="AE637" i="3" s="1"/>
  <c r="I637" i="3" l="1"/>
  <c r="J637" i="3"/>
  <c r="AD637" i="3" s="1"/>
  <c r="M637" i="3"/>
  <c r="N637" i="3" s="1"/>
  <c r="V637" i="3"/>
  <c r="A638" i="3"/>
  <c r="B638" i="3" s="1"/>
  <c r="W637" i="3" l="1"/>
  <c r="L637" i="3"/>
  <c r="P638" i="3"/>
  <c r="Q638" i="3" s="1"/>
  <c r="R638" i="3" s="1"/>
  <c r="S638" i="3" s="1"/>
  <c r="AC638" i="3"/>
  <c r="AA638" i="3"/>
  <c r="Z638" i="3"/>
  <c r="T638" i="3" l="1"/>
  <c r="AG638" i="3" s="1"/>
  <c r="U637" i="3"/>
  <c r="Y636" i="3"/>
  <c r="D638" i="3" l="1"/>
  <c r="G638" i="3" s="1"/>
  <c r="E638" i="3"/>
  <c r="H638" i="3" s="1"/>
  <c r="AH638" i="3"/>
  <c r="F638" i="3" l="1"/>
  <c r="I638" i="3"/>
  <c r="J638" i="3"/>
  <c r="AD638" i="3" s="1"/>
  <c r="M638" i="3"/>
  <c r="N638" i="3" s="1"/>
  <c r="K638" i="3"/>
  <c r="AE638" i="3" s="1"/>
  <c r="V638" i="3" l="1"/>
  <c r="W638" i="3" s="1"/>
  <c r="A639" i="3"/>
  <c r="B639" i="3" s="1"/>
  <c r="L638" i="3"/>
  <c r="U638" i="3" l="1"/>
  <c r="Y637" i="3"/>
  <c r="AC639" i="3"/>
  <c r="P639" i="3"/>
  <c r="Q639" i="3" s="1"/>
  <c r="R639" i="3" s="1"/>
  <c r="S639" i="3" s="1"/>
  <c r="AA639" i="3"/>
  <c r="Z639" i="3"/>
  <c r="T639" i="3" l="1"/>
  <c r="D639" i="3" s="1"/>
  <c r="AG639" i="3" l="1"/>
  <c r="E639" i="3"/>
  <c r="H639" i="3" s="1"/>
  <c r="K639" i="3" s="1"/>
  <c r="AE639" i="3" s="1"/>
  <c r="AH639" i="3"/>
  <c r="G639" i="3"/>
  <c r="F639" i="3" l="1"/>
  <c r="V639" i="3"/>
  <c r="A640" i="3"/>
  <c r="B640" i="3" s="1"/>
  <c r="I639" i="3"/>
  <c r="J639" i="3"/>
  <c r="AD639" i="3" s="1"/>
  <c r="M639" i="3"/>
  <c r="N639" i="3" s="1"/>
  <c r="W639" i="3" l="1"/>
  <c r="L639" i="3"/>
  <c r="P640" i="3"/>
  <c r="Q640" i="3" s="1"/>
  <c r="R640" i="3" s="1"/>
  <c r="S640" i="3" s="1"/>
  <c r="AA640" i="3"/>
  <c r="AC640" i="3"/>
  <c r="Z640" i="3"/>
  <c r="U639" i="3" l="1"/>
  <c r="Y638" i="3"/>
  <c r="T640" i="3"/>
  <c r="E640" i="3" l="1"/>
  <c r="H640" i="3" s="1"/>
  <c r="K640" i="3" s="1"/>
  <c r="AE640" i="3" s="1"/>
  <c r="D640" i="3"/>
  <c r="AG640" i="3"/>
  <c r="AH640" i="3"/>
  <c r="F640" i="3" l="1"/>
  <c r="G640" i="3"/>
  <c r="V640" i="3"/>
  <c r="A641" i="3"/>
  <c r="B641" i="3" s="1"/>
  <c r="AC641" i="3" l="1"/>
  <c r="AA641" i="3"/>
  <c r="AD641" i="3"/>
  <c r="Z641" i="3"/>
  <c r="P641" i="3"/>
  <c r="Q641" i="3" s="1"/>
  <c r="R641" i="3" s="1"/>
  <c r="S641" i="3" s="1"/>
  <c r="I640" i="3"/>
  <c r="W640" i="3" s="1"/>
  <c r="J640" i="3"/>
  <c r="AD640" i="3" s="1"/>
  <c r="M640" i="3"/>
  <c r="N640" i="3" s="1"/>
  <c r="L640" i="3" l="1"/>
  <c r="T641" i="3"/>
  <c r="U640" i="3" l="1"/>
  <c r="E641" i="3" s="1"/>
  <c r="H641" i="3" s="1"/>
  <c r="AG641" i="3"/>
  <c r="AH641" i="3"/>
  <c r="Y639" i="3"/>
  <c r="K641" i="3" l="1"/>
  <c r="AE641" i="3" s="1"/>
  <c r="D641" i="3"/>
  <c r="V641" i="3" l="1"/>
  <c r="A642" i="3"/>
  <c r="B642" i="3" s="1"/>
  <c r="F641" i="3"/>
  <c r="G641" i="3"/>
  <c r="I641" i="3" l="1"/>
  <c r="W641" i="3" s="1"/>
  <c r="J641" i="3"/>
  <c r="M641" i="3"/>
  <c r="N641" i="3" s="1"/>
  <c r="Z642" i="3"/>
  <c r="AD642" i="3"/>
  <c r="P642" i="3"/>
  <c r="Q642" i="3" s="1"/>
  <c r="R642" i="3" s="1"/>
  <c r="S642" i="3" s="1"/>
  <c r="AC642" i="3"/>
  <c r="AA642" i="3"/>
  <c r="T642" i="3" l="1"/>
  <c r="L641" i="3"/>
  <c r="U641" i="3" l="1"/>
  <c r="D642" i="3" s="1"/>
  <c r="AG642" i="3"/>
  <c r="AH642" i="3"/>
  <c r="Y640" i="3"/>
  <c r="E642" i="3" l="1"/>
  <c r="H642" i="3" s="1"/>
  <c r="K642" i="3" s="1"/>
  <c r="AE642" i="3" s="1"/>
  <c r="G642" i="3"/>
  <c r="F642" i="3" l="1"/>
  <c r="I642" i="3"/>
  <c r="J642" i="3"/>
  <c r="M642" i="3"/>
  <c r="N642" i="3" s="1"/>
  <c r="V642" i="3"/>
  <c r="A643" i="3"/>
  <c r="B643" i="3" s="1"/>
  <c r="W642" i="3" l="1"/>
  <c r="L642" i="3"/>
  <c r="AA643" i="3"/>
  <c r="AD643" i="3"/>
  <c r="AC643" i="3"/>
  <c r="P643" i="3"/>
  <c r="Q643" i="3" s="1"/>
  <c r="R643" i="3" s="1"/>
  <c r="S643" i="3" s="1"/>
  <c r="Z643" i="3"/>
  <c r="U642" i="3" l="1"/>
  <c r="Y641" i="3"/>
  <c r="T643" i="3"/>
  <c r="AH643" i="3" s="1"/>
  <c r="AG643" i="3" l="1"/>
  <c r="E643" i="3"/>
  <c r="H643" i="3" s="1"/>
  <c r="K643" i="3" s="1"/>
  <c r="AE643" i="3" s="1"/>
  <c r="D643" i="3"/>
  <c r="F643" i="3" l="1"/>
  <c r="G643" i="3"/>
  <c r="M643" i="3" s="1"/>
  <c r="N643" i="3" s="1"/>
  <c r="V643" i="3"/>
  <c r="A644" i="3"/>
  <c r="B644" i="3" s="1"/>
  <c r="I643" i="3" l="1"/>
  <c r="W643" i="3" s="1"/>
  <c r="J643" i="3"/>
  <c r="L643" i="3" s="1"/>
  <c r="P644" i="3"/>
  <c r="Q644" i="3" s="1"/>
  <c r="R644" i="3" s="1"/>
  <c r="S644" i="3" s="1"/>
  <c r="AA644" i="3"/>
  <c r="AC644" i="3"/>
  <c r="Z644" i="3"/>
  <c r="U643" i="3" l="1"/>
  <c r="Y642" i="3"/>
  <c r="T644" i="3"/>
  <c r="AG644" i="3" s="1"/>
  <c r="AH644" i="3" l="1"/>
  <c r="D644" i="3"/>
  <c r="E644" i="3"/>
  <c r="H644" i="3" s="1"/>
  <c r="K644" i="3" l="1"/>
  <c r="AE644" i="3" s="1"/>
  <c r="F644" i="3"/>
  <c r="G644" i="3"/>
  <c r="I644" i="3" l="1"/>
  <c r="J644" i="3"/>
  <c r="AD644" i="3" s="1"/>
  <c r="M644" i="3"/>
  <c r="N644" i="3" s="1"/>
  <c r="V644" i="3"/>
  <c r="A645" i="3"/>
  <c r="B645" i="3" s="1"/>
  <c r="L644" i="3" l="1"/>
  <c r="W644" i="3"/>
  <c r="Z645" i="3"/>
  <c r="P645" i="3"/>
  <c r="Q645" i="3" s="1"/>
  <c r="R645" i="3" s="1"/>
  <c r="S645" i="3" s="1"/>
  <c r="AD645" i="3"/>
  <c r="AA645" i="3"/>
  <c r="AC645" i="3"/>
  <c r="U644" i="3" l="1"/>
  <c r="Y643" i="3"/>
  <c r="T645" i="3"/>
  <c r="AG645" i="3" s="1"/>
  <c r="D645" i="3" l="1"/>
  <c r="AH645" i="3"/>
  <c r="E645" i="3"/>
  <c r="H645" i="3" s="1"/>
  <c r="F645" i="3" l="1"/>
  <c r="G645" i="3"/>
  <c r="K645" i="3"/>
  <c r="AE645" i="3" s="1"/>
  <c r="I645" i="3" l="1"/>
  <c r="J645" i="3"/>
  <c r="M645" i="3"/>
  <c r="N645" i="3" s="1"/>
  <c r="V645" i="3"/>
  <c r="A646" i="3"/>
  <c r="B646" i="3" s="1"/>
  <c r="W645" i="3" l="1"/>
  <c r="L645" i="3"/>
  <c r="AA646" i="3"/>
  <c r="Z646" i="3"/>
  <c r="AC646" i="3"/>
  <c r="AD646" i="3"/>
  <c r="P646" i="3"/>
  <c r="Q646" i="3" s="1"/>
  <c r="R646" i="3" s="1"/>
  <c r="S646" i="3" s="1"/>
  <c r="U645" i="3" l="1"/>
  <c r="Y644" i="3"/>
  <c r="T646" i="3"/>
  <c r="AG646" i="3" s="1"/>
  <c r="E646" i="3" l="1"/>
  <c r="H646" i="3" s="1"/>
  <c r="D646" i="3"/>
  <c r="AH646" i="3"/>
  <c r="F646" i="3" l="1"/>
  <c r="G646" i="3"/>
  <c r="K646" i="3"/>
  <c r="AE646" i="3" s="1"/>
  <c r="I646" i="3" l="1"/>
  <c r="J646" i="3"/>
  <c r="M646" i="3"/>
  <c r="N646" i="3" s="1"/>
  <c r="V646" i="3"/>
  <c r="A647" i="3"/>
  <c r="B647" i="3" s="1"/>
  <c r="L646" i="3" l="1"/>
  <c r="W646" i="3"/>
  <c r="P647" i="3"/>
  <c r="Q647" i="3" s="1"/>
  <c r="R647" i="3" s="1"/>
  <c r="S647" i="3" s="1"/>
  <c r="AC647" i="3"/>
  <c r="AA647" i="3"/>
  <c r="Z647" i="3"/>
  <c r="U646" i="3" l="1"/>
  <c r="Y645" i="3"/>
  <c r="T647" i="3"/>
  <c r="AG647" i="3" s="1"/>
  <c r="E647" i="3" l="1"/>
  <c r="H647" i="3" s="1"/>
  <c r="D647" i="3"/>
  <c r="AH647" i="3"/>
  <c r="F647" i="3" l="1"/>
  <c r="G647" i="3"/>
  <c r="K647" i="3"/>
  <c r="AE647" i="3" s="1"/>
  <c r="V647" i="3" l="1"/>
  <c r="A648" i="3"/>
  <c r="B648" i="3" s="1"/>
  <c r="I647" i="3"/>
  <c r="J647" i="3"/>
  <c r="AD647" i="3" s="1"/>
  <c r="M647" i="3"/>
  <c r="N647" i="3" s="1"/>
  <c r="W647" i="3" l="1"/>
  <c r="L647" i="3"/>
  <c r="AC648" i="3"/>
  <c r="AA648" i="3"/>
  <c r="P648" i="3"/>
  <c r="Q648" i="3" s="1"/>
  <c r="R648" i="3" s="1"/>
  <c r="S648" i="3" s="1"/>
  <c r="Z648" i="3"/>
  <c r="AD648" i="3"/>
  <c r="T648" i="3" l="1"/>
  <c r="AH648" i="3" s="1"/>
  <c r="U647" i="3"/>
  <c r="Y646" i="3"/>
  <c r="D648" i="3" l="1"/>
  <c r="AG648" i="3"/>
  <c r="E648" i="3"/>
  <c r="H648" i="3" s="1"/>
  <c r="F648" i="3" l="1"/>
  <c r="G648" i="3"/>
  <c r="K648" i="3"/>
  <c r="AE648" i="3" s="1"/>
  <c r="I648" i="3" l="1"/>
  <c r="J648" i="3"/>
  <c r="M648" i="3"/>
  <c r="N648" i="3" s="1"/>
  <c r="V648" i="3"/>
  <c r="A649" i="3"/>
  <c r="B649" i="3" s="1"/>
  <c r="W648" i="3" l="1"/>
  <c r="L648" i="3"/>
  <c r="AC649" i="3"/>
  <c r="AA649" i="3"/>
  <c r="AD649" i="3"/>
  <c r="P649" i="3"/>
  <c r="Q649" i="3" s="1"/>
  <c r="R649" i="3" s="1"/>
  <c r="S649" i="3" s="1"/>
  <c r="Z649" i="3"/>
  <c r="U648" i="3" l="1"/>
  <c r="Y647" i="3"/>
  <c r="T649" i="3"/>
  <c r="E649" i="3" l="1"/>
  <c r="H649" i="3" s="1"/>
  <c r="K649" i="3" s="1"/>
  <c r="AE649" i="3" s="1"/>
  <c r="D649" i="3"/>
  <c r="AH649" i="3"/>
  <c r="AG649" i="3"/>
  <c r="V649" i="3" l="1"/>
  <c r="A650" i="3"/>
  <c r="B650" i="3" s="1"/>
  <c r="F649" i="3"/>
  <c r="G649" i="3"/>
  <c r="I649" i="3" l="1"/>
  <c r="W649" i="3" s="1"/>
  <c r="J649" i="3"/>
  <c r="M649" i="3"/>
  <c r="N649" i="3" s="1"/>
  <c r="AA650" i="3"/>
  <c r="P650" i="3"/>
  <c r="Q650" i="3" s="1"/>
  <c r="R650" i="3" s="1"/>
  <c r="S650" i="3" s="1"/>
  <c r="Z650" i="3"/>
  <c r="AD650" i="3"/>
  <c r="AC650" i="3"/>
  <c r="L649" i="3" l="1"/>
  <c r="T650" i="3"/>
  <c r="U649" i="3" l="1"/>
  <c r="E650" i="3" s="1"/>
  <c r="H650" i="3" s="1"/>
  <c r="AG650" i="3"/>
  <c r="AH650" i="3"/>
  <c r="Y648" i="3"/>
  <c r="K650" i="3" l="1"/>
  <c r="AE650" i="3" s="1"/>
  <c r="D650" i="3"/>
  <c r="V650" i="3" l="1"/>
  <c r="A651" i="3"/>
  <c r="B651" i="3" s="1"/>
  <c r="F650" i="3"/>
  <c r="G650" i="3"/>
  <c r="I650" i="3" l="1"/>
  <c r="W650" i="3" s="1"/>
  <c r="J650" i="3"/>
  <c r="M650" i="3"/>
  <c r="N650" i="3" s="1"/>
  <c r="Z651" i="3"/>
  <c r="AC651" i="3"/>
  <c r="P651" i="3"/>
  <c r="Q651" i="3" s="1"/>
  <c r="R651" i="3" s="1"/>
  <c r="S651" i="3" s="1"/>
  <c r="AA651" i="3"/>
  <c r="AD651" i="3"/>
  <c r="T651" i="3" l="1"/>
  <c r="L650" i="3"/>
  <c r="AH651" i="3" l="1"/>
  <c r="U650" i="3"/>
  <c r="E651" i="3" s="1"/>
  <c r="H651" i="3" s="1"/>
  <c r="AG651" i="3"/>
  <c r="Y649" i="3"/>
  <c r="D651" i="3" l="1"/>
  <c r="G651" i="3" s="1"/>
  <c r="K651" i="3"/>
  <c r="AE651" i="3" s="1"/>
  <c r="F651" i="3" l="1"/>
  <c r="I651" i="3"/>
  <c r="J651" i="3"/>
  <c r="M651" i="3"/>
  <c r="N651" i="3" s="1"/>
  <c r="V651" i="3"/>
  <c r="A652" i="3"/>
  <c r="B652" i="3" s="1"/>
  <c r="W651" i="3" l="1"/>
  <c r="L651" i="3"/>
  <c r="P652" i="3"/>
  <c r="Q652" i="3" s="1"/>
  <c r="R652" i="3" s="1"/>
  <c r="S652" i="3" s="1"/>
  <c r="AC652" i="3"/>
  <c r="AA652" i="3"/>
  <c r="Z652" i="3"/>
  <c r="AD652" i="3"/>
  <c r="U651" i="3" l="1"/>
  <c r="Y650" i="3"/>
  <c r="T652" i="3"/>
  <c r="E652" i="3" l="1"/>
  <c r="H652" i="3" s="1"/>
  <c r="K652" i="3" s="1"/>
  <c r="AE652" i="3" s="1"/>
  <c r="AH652" i="3"/>
  <c r="AG652" i="3"/>
  <c r="D652" i="3"/>
  <c r="G652" i="3" s="1"/>
  <c r="F652" i="3" l="1"/>
  <c r="V652" i="3"/>
  <c r="A653" i="3"/>
  <c r="B653" i="3" s="1"/>
  <c r="I652" i="3"/>
  <c r="J652" i="3"/>
  <c r="M652" i="3"/>
  <c r="N652" i="3" s="1"/>
  <c r="W652" i="3" l="1"/>
  <c r="L652" i="3"/>
  <c r="Z653" i="3"/>
  <c r="AA653" i="3"/>
  <c r="P653" i="3"/>
  <c r="Q653" i="3" s="1"/>
  <c r="R653" i="3" s="1"/>
  <c r="S653" i="3" s="1"/>
  <c r="AD653" i="3"/>
  <c r="AC653" i="3"/>
  <c r="T653" i="3" l="1"/>
  <c r="AG653" i="3" s="1"/>
  <c r="U652" i="3"/>
  <c r="Y651" i="3"/>
  <c r="AH653" i="3" l="1"/>
  <c r="E653" i="3"/>
  <c r="H653" i="3" s="1"/>
  <c r="D653" i="3"/>
  <c r="K653" i="3" l="1"/>
  <c r="AE653" i="3" s="1"/>
  <c r="F653" i="3"/>
  <c r="G653" i="3"/>
  <c r="V653" i="3" l="1"/>
  <c r="A654" i="3"/>
  <c r="B654" i="3" s="1"/>
  <c r="I653" i="3"/>
  <c r="J653" i="3"/>
  <c r="M653" i="3"/>
  <c r="N653" i="3" s="1"/>
  <c r="W653" i="3" l="1"/>
  <c r="L653" i="3"/>
  <c r="Z654" i="3"/>
  <c r="P654" i="3"/>
  <c r="Q654" i="3" s="1"/>
  <c r="R654" i="3" s="1"/>
  <c r="S654" i="3" s="1"/>
  <c r="AC654" i="3"/>
  <c r="AA654" i="3"/>
  <c r="T654" i="3" l="1"/>
  <c r="AG654" i="3" s="1"/>
  <c r="U653" i="3"/>
  <c r="Y652" i="3"/>
  <c r="AH654" i="3" l="1"/>
  <c r="E654" i="3"/>
  <c r="H654" i="3" s="1"/>
  <c r="D654" i="3"/>
  <c r="K654" i="3" l="1"/>
  <c r="AE654" i="3" s="1"/>
  <c r="F654" i="3"/>
  <c r="G654" i="3"/>
  <c r="V654" i="3" l="1"/>
  <c r="A655" i="3"/>
  <c r="B655" i="3" s="1"/>
  <c r="I654" i="3"/>
  <c r="J654" i="3"/>
  <c r="AD654" i="3" s="1"/>
  <c r="M654" i="3"/>
  <c r="N654" i="3" s="1"/>
  <c r="L654" i="3" l="1"/>
  <c r="AD655" i="3"/>
  <c r="AC655" i="3"/>
  <c r="P655" i="3"/>
  <c r="Q655" i="3" s="1"/>
  <c r="R655" i="3" s="1"/>
  <c r="S655" i="3" s="1"/>
  <c r="Z655" i="3"/>
  <c r="AA655" i="3"/>
  <c r="W654" i="3"/>
  <c r="U654" i="3" l="1"/>
  <c r="Y653" i="3"/>
  <c r="T655" i="3"/>
  <c r="AH655" i="3" s="1"/>
  <c r="AG655" i="3" l="1"/>
  <c r="D655" i="3"/>
  <c r="E655" i="3"/>
  <c r="H655" i="3" s="1"/>
  <c r="K655" i="3" l="1"/>
  <c r="AE655" i="3" s="1"/>
  <c r="F655" i="3"/>
  <c r="G655" i="3"/>
  <c r="V655" i="3" l="1"/>
  <c r="A656" i="3"/>
  <c r="B656" i="3" s="1"/>
  <c r="I655" i="3"/>
  <c r="J655" i="3"/>
  <c r="M655" i="3"/>
  <c r="N655" i="3" s="1"/>
  <c r="W655" i="3" l="1"/>
  <c r="L655" i="3"/>
  <c r="Z656" i="3"/>
  <c r="AA656" i="3"/>
  <c r="AD656" i="3"/>
  <c r="AC656" i="3"/>
  <c r="P656" i="3"/>
  <c r="Q656" i="3" s="1"/>
  <c r="R656" i="3" s="1"/>
  <c r="S656" i="3" s="1"/>
  <c r="T656" i="3" l="1"/>
  <c r="U655" i="3"/>
  <c r="Y654" i="3"/>
  <c r="E656" i="3" l="1"/>
  <c r="H656" i="3" s="1"/>
  <c r="K656" i="3" s="1"/>
  <c r="AE656" i="3" s="1"/>
  <c r="AH656" i="3"/>
  <c r="D656" i="3"/>
  <c r="AG656" i="3"/>
  <c r="F656" i="3" l="1"/>
  <c r="G656" i="3"/>
  <c r="V656" i="3"/>
  <c r="A657" i="3"/>
  <c r="B657" i="3" s="1"/>
  <c r="I656" i="3" l="1"/>
  <c r="W656" i="3" s="1"/>
  <c r="J656" i="3"/>
  <c r="M656" i="3"/>
  <c r="N656" i="3" s="1"/>
  <c r="AC657" i="3"/>
  <c r="P657" i="3"/>
  <c r="Q657" i="3" s="1"/>
  <c r="R657" i="3" s="1"/>
  <c r="S657" i="3" s="1"/>
  <c r="AA657" i="3"/>
  <c r="Z657" i="3"/>
  <c r="L656" i="3" l="1"/>
  <c r="T657" i="3"/>
  <c r="AH657" i="3" l="1"/>
  <c r="U656" i="3"/>
  <c r="E657" i="3" s="1"/>
  <c r="H657" i="3" s="1"/>
  <c r="AG657" i="3"/>
  <c r="Y655" i="3"/>
  <c r="D657" i="3" l="1"/>
  <c r="G657" i="3" s="1"/>
  <c r="K657" i="3"/>
  <c r="AE657" i="3" s="1"/>
  <c r="F657" i="3" l="1"/>
  <c r="I657" i="3"/>
  <c r="J657" i="3"/>
  <c r="AD657" i="3" s="1"/>
  <c r="M657" i="3"/>
  <c r="N657" i="3" s="1"/>
  <c r="V657" i="3"/>
  <c r="A658" i="3"/>
  <c r="B658" i="3" s="1"/>
  <c r="W657" i="3" l="1"/>
  <c r="L657" i="3"/>
  <c r="AC658" i="3"/>
  <c r="Z658" i="3"/>
  <c r="AA658" i="3"/>
  <c r="P658" i="3"/>
  <c r="Q658" i="3" s="1"/>
  <c r="R658" i="3" s="1"/>
  <c r="S658" i="3" s="1"/>
  <c r="U657" i="3" l="1"/>
  <c r="Y656" i="3"/>
  <c r="T658" i="3"/>
  <c r="AG658" i="3" s="1"/>
  <c r="E658" i="3" l="1"/>
  <c r="H658" i="3" s="1"/>
  <c r="D658" i="3"/>
  <c r="AH658" i="3"/>
  <c r="K658" i="3" l="1"/>
  <c r="AE658" i="3" s="1"/>
  <c r="F658" i="3"/>
  <c r="G658" i="3"/>
  <c r="I658" i="3" l="1"/>
  <c r="J658" i="3"/>
  <c r="AD658" i="3" s="1"/>
  <c r="M658" i="3"/>
  <c r="N658" i="3" s="1"/>
  <c r="V658" i="3"/>
  <c r="A659" i="3"/>
  <c r="B659" i="3" s="1"/>
  <c r="W658" i="3" l="1"/>
  <c r="L658" i="3"/>
  <c r="AA659" i="3"/>
  <c r="P659" i="3"/>
  <c r="Q659" i="3" s="1"/>
  <c r="R659" i="3" s="1"/>
  <c r="S659" i="3" s="1"/>
  <c r="Z659" i="3"/>
  <c r="AC659" i="3"/>
  <c r="U658" i="3" l="1"/>
  <c r="Y657" i="3"/>
  <c r="T659" i="3"/>
  <c r="AH659" i="3" s="1"/>
  <c r="E659" i="3" l="1"/>
  <c r="H659" i="3" s="1"/>
  <c r="K659" i="3" s="1"/>
  <c r="AE659" i="3" s="1"/>
  <c r="AG659" i="3"/>
  <c r="D659" i="3"/>
  <c r="G659" i="3" s="1"/>
  <c r="F659" i="3" l="1"/>
  <c r="I659" i="3"/>
  <c r="J659" i="3"/>
  <c r="AD659" i="3" s="1"/>
  <c r="M659" i="3"/>
  <c r="N659" i="3" s="1"/>
  <c r="V659" i="3"/>
  <c r="A660" i="3"/>
  <c r="B660" i="3" s="1"/>
  <c r="W659" i="3" l="1"/>
  <c r="L659" i="3"/>
  <c r="AA660" i="3"/>
  <c r="P660" i="3"/>
  <c r="Q660" i="3" s="1"/>
  <c r="R660" i="3" s="1"/>
  <c r="S660" i="3" s="1"/>
  <c r="AC660" i="3"/>
  <c r="Z660" i="3"/>
  <c r="T660" i="3" l="1"/>
  <c r="AH660" i="3" s="1"/>
  <c r="U659" i="3"/>
  <c r="Y658" i="3"/>
  <c r="AG660" i="3" l="1"/>
  <c r="D660" i="3"/>
  <c r="E660" i="3"/>
  <c r="H660" i="3" s="1"/>
  <c r="K660" i="3" l="1"/>
  <c r="AE660" i="3" s="1"/>
  <c r="F660" i="3"/>
  <c r="G660" i="3"/>
  <c r="I660" i="3" l="1"/>
  <c r="J660" i="3"/>
  <c r="AD660" i="3" s="1"/>
  <c r="M660" i="3"/>
  <c r="N660" i="3" s="1"/>
  <c r="V660" i="3"/>
  <c r="A661" i="3"/>
  <c r="B661" i="3" s="1"/>
  <c r="L660" i="3" l="1"/>
  <c r="W660" i="3"/>
  <c r="Z661" i="3"/>
  <c r="P661" i="3"/>
  <c r="Q661" i="3" s="1"/>
  <c r="R661" i="3" s="1"/>
  <c r="S661" i="3" s="1"/>
  <c r="AA661" i="3"/>
  <c r="AC661" i="3"/>
  <c r="T661" i="3" l="1"/>
  <c r="U660" i="3"/>
  <c r="Y659" i="3"/>
  <c r="E661" i="3" l="1"/>
  <c r="H661" i="3" s="1"/>
  <c r="K661" i="3" s="1"/>
  <c r="AE661" i="3" s="1"/>
  <c r="D661" i="3"/>
  <c r="AH661" i="3"/>
  <c r="AG661" i="3"/>
  <c r="V661" i="3" l="1"/>
  <c r="A662" i="3"/>
  <c r="B662" i="3" s="1"/>
  <c r="F661" i="3"/>
  <c r="G661" i="3"/>
  <c r="I661" i="3" l="1"/>
  <c r="W661" i="3" s="1"/>
  <c r="J661" i="3"/>
  <c r="AD661" i="3" s="1"/>
  <c r="M661" i="3"/>
  <c r="N661" i="3" s="1"/>
  <c r="P662" i="3"/>
  <c r="Q662" i="3" s="1"/>
  <c r="R662" i="3" s="1"/>
  <c r="S662" i="3" s="1"/>
  <c r="Z662" i="3"/>
  <c r="AA662" i="3"/>
  <c r="AC662" i="3"/>
  <c r="T662" i="3" l="1"/>
  <c r="L661" i="3"/>
  <c r="AH662" i="3" l="1"/>
  <c r="AG662" i="3"/>
  <c r="U661" i="3"/>
  <c r="E662" i="3" s="1"/>
  <c r="H662" i="3" s="1"/>
  <c r="Y660" i="3"/>
  <c r="D662" i="3" l="1"/>
  <c r="F662" i="3" s="1"/>
  <c r="K662" i="3"/>
  <c r="AE662" i="3" s="1"/>
  <c r="G662" i="3" l="1"/>
  <c r="I662" i="3" s="1"/>
  <c r="V662" i="3"/>
  <c r="A663" i="3"/>
  <c r="B663" i="3" s="1"/>
  <c r="J662" i="3" l="1"/>
  <c r="M662" i="3"/>
  <c r="N662" i="3" s="1"/>
  <c r="W662" i="3"/>
  <c r="AA663" i="3"/>
  <c r="Z663" i="3"/>
  <c r="P663" i="3"/>
  <c r="Q663" i="3" s="1"/>
  <c r="R663" i="3" s="1"/>
  <c r="S663" i="3" s="1"/>
  <c r="AC663" i="3"/>
  <c r="L662" i="3" l="1"/>
  <c r="AD662" i="3"/>
  <c r="U662" i="3"/>
  <c r="Y661" i="3"/>
  <c r="T663" i="3"/>
  <c r="E663" i="3" l="1"/>
  <c r="H663" i="3" s="1"/>
  <c r="K663" i="3" s="1"/>
  <c r="AE663" i="3" s="1"/>
  <c r="AG663" i="3"/>
  <c r="AH663" i="3"/>
  <c r="D663" i="3"/>
  <c r="F663" i="3" l="1"/>
  <c r="G663" i="3"/>
  <c r="V663" i="3"/>
  <c r="A664" i="3"/>
  <c r="B664" i="3" s="1"/>
  <c r="P664" i="3" l="1"/>
  <c r="Q664" i="3" s="1"/>
  <c r="R664" i="3" s="1"/>
  <c r="S664" i="3" s="1"/>
  <c r="AA664" i="3"/>
  <c r="AC664" i="3"/>
  <c r="Z664" i="3"/>
  <c r="I663" i="3"/>
  <c r="W663" i="3" s="1"/>
  <c r="J663" i="3"/>
  <c r="AD663" i="3" s="1"/>
  <c r="M663" i="3"/>
  <c r="N663" i="3" s="1"/>
  <c r="T664" i="3" l="1"/>
  <c r="L663" i="3"/>
  <c r="AH664" i="3" l="1"/>
  <c r="U663" i="3"/>
  <c r="E664" i="3" s="1"/>
  <c r="H664" i="3" s="1"/>
  <c r="AG664" i="3"/>
  <c r="Y662" i="3"/>
  <c r="D664" i="3" l="1"/>
  <c r="G664" i="3" s="1"/>
  <c r="K664" i="3"/>
  <c r="AE664" i="3" s="1"/>
  <c r="F664" i="3" l="1"/>
  <c r="I664" i="3"/>
  <c r="J664" i="3"/>
  <c r="AD664" i="3" s="1"/>
  <c r="M664" i="3"/>
  <c r="N664" i="3" s="1"/>
  <c r="V664" i="3"/>
  <c r="A665" i="3"/>
  <c r="B665" i="3" s="1"/>
  <c r="W664" i="3" l="1"/>
  <c r="L664" i="3"/>
  <c r="AC665" i="3"/>
  <c r="P665" i="3"/>
  <c r="Q665" i="3" s="1"/>
  <c r="R665" i="3" s="1"/>
  <c r="S665" i="3" s="1"/>
  <c r="AA665" i="3"/>
  <c r="Z665" i="3"/>
  <c r="U664" i="3" l="1"/>
  <c r="Y663" i="3"/>
  <c r="T665" i="3"/>
  <c r="D665" i="3" l="1"/>
  <c r="G665" i="3" s="1"/>
  <c r="AG665" i="3"/>
  <c r="E665" i="3"/>
  <c r="H665" i="3" s="1"/>
  <c r="AH665" i="3"/>
  <c r="F665" i="3" l="1"/>
  <c r="I665" i="3"/>
  <c r="J665" i="3"/>
  <c r="AD665" i="3" s="1"/>
  <c r="M665" i="3"/>
  <c r="N665" i="3" s="1"/>
  <c r="K665" i="3"/>
  <c r="AE665" i="3" s="1"/>
  <c r="L665" i="3" l="1"/>
  <c r="V665" i="3"/>
  <c r="W665" i="3" s="1"/>
  <c r="A666" i="3"/>
  <c r="B666" i="3" s="1"/>
  <c r="U665" i="3" l="1"/>
  <c r="Y664" i="3"/>
  <c r="AA666" i="3"/>
  <c r="P666" i="3"/>
  <c r="Q666" i="3" s="1"/>
  <c r="R666" i="3" s="1"/>
  <c r="S666" i="3" s="1"/>
  <c r="Z666" i="3"/>
  <c r="AC666" i="3"/>
  <c r="T666" i="3" l="1"/>
  <c r="D666" i="3" s="1"/>
  <c r="AG666" i="3" l="1"/>
  <c r="E666" i="3"/>
  <c r="H666" i="3" s="1"/>
  <c r="K666" i="3" s="1"/>
  <c r="AE666" i="3" s="1"/>
  <c r="AH666" i="3"/>
  <c r="G666" i="3"/>
  <c r="F666" i="3" l="1"/>
  <c r="I666" i="3"/>
  <c r="J666" i="3"/>
  <c r="AD666" i="3" s="1"/>
  <c r="M666" i="3"/>
  <c r="N666" i="3" s="1"/>
  <c r="V666" i="3"/>
  <c r="A667" i="3"/>
  <c r="B667" i="3" s="1"/>
  <c r="L666" i="3" l="1"/>
  <c r="W666" i="3"/>
  <c r="AC667" i="3"/>
  <c r="Z667" i="3"/>
  <c r="P667" i="3"/>
  <c r="Q667" i="3" s="1"/>
  <c r="R667" i="3" s="1"/>
  <c r="S667" i="3" s="1"/>
  <c r="AA667" i="3"/>
  <c r="U666" i="3" l="1"/>
  <c r="Y665" i="3"/>
  <c r="T667" i="3"/>
  <c r="AG667" i="3" s="1"/>
  <c r="D667" i="3" l="1"/>
  <c r="E667" i="3"/>
  <c r="H667" i="3" s="1"/>
  <c r="AH667" i="3"/>
  <c r="F667" i="3" l="1"/>
  <c r="G667" i="3"/>
  <c r="K667" i="3"/>
  <c r="AE667" i="3" s="1"/>
  <c r="I667" i="3" l="1"/>
  <c r="J667" i="3"/>
  <c r="AD667" i="3" s="1"/>
  <c r="M667" i="3"/>
  <c r="N667" i="3" s="1"/>
  <c r="V667" i="3"/>
  <c r="A668" i="3"/>
  <c r="B668" i="3" s="1"/>
  <c r="W667" i="3" l="1"/>
  <c r="L667" i="3"/>
  <c r="Z668" i="3"/>
  <c r="P668" i="3"/>
  <c r="Q668" i="3" s="1"/>
  <c r="R668" i="3" s="1"/>
  <c r="S668" i="3" s="1"/>
  <c r="AD668" i="3"/>
  <c r="AC668" i="3"/>
  <c r="AA668" i="3"/>
  <c r="T668" i="3" l="1"/>
  <c r="AH668" i="3" s="1"/>
  <c r="U667" i="3"/>
  <c r="Y666" i="3"/>
  <c r="D668" i="3" l="1"/>
  <c r="G668" i="3" s="1"/>
  <c r="AG668" i="3"/>
  <c r="E668" i="3"/>
  <c r="H668" i="3" s="1"/>
  <c r="F668" i="3" l="1"/>
  <c r="I668" i="3"/>
  <c r="J668" i="3"/>
  <c r="M668" i="3"/>
  <c r="N668" i="3" s="1"/>
  <c r="K668" i="3"/>
  <c r="AE668" i="3" s="1"/>
  <c r="L668" i="3" l="1"/>
  <c r="V668" i="3"/>
  <c r="W668" i="3" s="1"/>
  <c r="A669" i="3"/>
  <c r="B669" i="3" s="1"/>
  <c r="AA669" i="3" l="1"/>
  <c r="P669" i="3"/>
  <c r="Q669" i="3" s="1"/>
  <c r="R669" i="3" s="1"/>
  <c r="S669" i="3" s="1"/>
  <c r="AD669" i="3"/>
  <c r="AC669" i="3"/>
  <c r="Z669" i="3"/>
  <c r="U668" i="3"/>
  <c r="Y667" i="3"/>
  <c r="T669" i="3" l="1"/>
  <c r="AH669" i="3" l="1"/>
  <c r="AG669" i="3"/>
  <c r="D669" i="3"/>
  <c r="E669" i="3"/>
  <c r="H669" i="3" s="1"/>
  <c r="F669" i="3" l="1"/>
  <c r="G669" i="3"/>
  <c r="K669" i="3"/>
  <c r="AE669" i="3" s="1"/>
  <c r="V669" i="3" l="1"/>
  <c r="A670" i="3"/>
  <c r="B670" i="3" s="1"/>
  <c r="I669" i="3"/>
  <c r="J669" i="3"/>
  <c r="M669" i="3"/>
  <c r="N669" i="3" s="1"/>
  <c r="L669" i="3" l="1"/>
  <c r="W669" i="3"/>
  <c r="AD670" i="3"/>
  <c r="P670" i="3"/>
  <c r="Q670" i="3" s="1"/>
  <c r="R670" i="3" s="1"/>
  <c r="S670" i="3" s="1"/>
  <c r="AA670" i="3"/>
  <c r="Z670" i="3"/>
  <c r="AC670" i="3"/>
  <c r="T670" i="3" l="1"/>
  <c r="U669" i="3"/>
  <c r="Y668" i="3"/>
  <c r="E670" i="3" l="1"/>
  <c r="H670" i="3" s="1"/>
  <c r="K670" i="3" s="1"/>
  <c r="AE670" i="3" s="1"/>
  <c r="AH670" i="3"/>
  <c r="AG670" i="3"/>
  <c r="D670" i="3"/>
  <c r="V670" i="3" l="1"/>
  <c r="A671" i="3"/>
  <c r="B671" i="3" s="1"/>
  <c r="F670" i="3"/>
  <c r="G670" i="3"/>
  <c r="I670" i="3" l="1"/>
  <c r="W670" i="3" s="1"/>
  <c r="J670" i="3"/>
  <c r="M670" i="3"/>
  <c r="N670" i="3" s="1"/>
  <c r="AC671" i="3"/>
  <c r="Z671" i="3"/>
  <c r="AD671" i="3"/>
  <c r="AA671" i="3"/>
  <c r="P671" i="3"/>
  <c r="Q671" i="3" s="1"/>
  <c r="R671" i="3" s="1"/>
  <c r="S671" i="3" s="1"/>
  <c r="T671" i="3" l="1"/>
  <c r="L670" i="3"/>
  <c r="U670" i="3" l="1"/>
  <c r="E671" i="3" s="1"/>
  <c r="H671" i="3" s="1"/>
  <c r="AG671" i="3"/>
  <c r="AH671" i="3"/>
  <c r="Y669" i="3"/>
  <c r="D671" i="3" l="1"/>
  <c r="G671" i="3" s="1"/>
  <c r="K671" i="3"/>
  <c r="AE671" i="3" s="1"/>
  <c r="F671" i="3" l="1"/>
  <c r="V671" i="3"/>
  <c r="A672" i="3"/>
  <c r="B672" i="3" s="1"/>
  <c r="I671" i="3"/>
  <c r="J671" i="3"/>
  <c r="M671" i="3"/>
  <c r="N671" i="3" s="1"/>
  <c r="W671" i="3" l="1"/>
  <c r="L671" i="3"/>
  <c r="AD672" i="3"/>
  <c r="P672" i="3"/>
  <c r="Q672" i="3" s="1"/>
  <c r="R672" i="3" s="1"/>
  <c r="S672" i="3" s="1"/>
  <c r="AC672" i="3"/>
  <c r="Z672" i="3"/>
  <c r="AA672" i="3"/>
  <c r="T672" i="3" l="1"/>
  <c r="AG672" i="3" s="1"/>
  <c r="U671" i="3"/>
  <c r="Y670" i="3"/>
  <c r="E672" i="3" l="1"/>
  <c r="H672" i="3" s="1"/>
  <c r="K672" i="3" s="1"/>
  <c r="AE672" i="3" s="1"/>
  <c r="D672" i="3"/>
  <c r="AH672" i="3"/>
  <c r="F672" i="3" l="1"/>
  <c r="G672" i="3"/>
  <c r="V672" i="3"/>
  <c r="A673" i="3"/>
  <c r="B673" i="3" s="1"/>
  <c r="AC673" i="3" l="1"/>
  <c r="AA673" i="3"/>
  <c r="P673" i="3"/>
  <c r="Q673" i="3" s="1"/>
  <c r="R673" i="3" s="1"/>
  <c r="S673" i="3" s="1"/>
  <c r="AD673" i="3"/>
  <c r="Z673" i="3"/>
  <c r="I672" i="3"/>
  <c r="W672" i="3" s="1"/>
  <c r="J672" i="3"/>
  <c r="M672" i="3"/>
  <c r="N672" i="3" s="1"/>
  <c r="L672" i="3" l="1"/>
  <c r="T673" i="3"/>
  <c r="AH673" i="3" l="1"/>
  <c r="AG673" i="3"/>
  <c r="U672" i="3"/>
  <c r="E673" i="3" s="1"/>
  <c r="H673" i="3" s="1"/>
  <c r="Y671" i="3"/>
  <c r="K673" i="3" l="1"/>
  <c r="AE673" i="3" s="1"/>
  <c r="D673" i="3"/>
  <c r="V673" i="3" l="1"/>
  <c r="A674" i="3"/>
  <c r="B674" i="3" s="1"/>
  <c r="F673" i="3"/>
  <c r="G673" i="3"/>
  <c r="I673" i="3" l="1"/>
  <c r="W673" i="3" s="1"/>
  <c r="J673" i="3"/>
  <c r="M673" i="3"/>
  <c r="N673" i="3" s="1"/>
  <c r="P674" i="3"/>
  <c r="Q674" i="3" s="1"/>
  <c r="R674" i="3" s="1"/>
  <c r="S674" i="3" s="1"/>
  <c r="AA674" i="3"/>
  <c r="Z674" i="3"/>
  <c r="AC674" i="3"/>
  <c r="T674" i="3" l="1"/>
  <c r="L673" i="3"/>
  <c r="AH674" i="3" l="1"/>
  <c r="U673" i="3"/>
  <c r="E674" i="3" s="1"/>
  <c r="H674" i="3" s="1"/>
  <c r="AG674" i="3"/>
  <c r="Y672" i="3"/>
  <c r="D674" i="3" l="1"/>
  <c r="G674" i="3" s="1"/>
  <c r="K674" i="3"/>
  <c r="AE674" i="3" s="1"/>
  <c r="F674" i="3" l="1"/>
  <c r="I674" i="3"/>
  <c r="J674" i="3"/>
  <c r="AD674" i="3" s="1"/>
  <c r="M674" i="3"/>
  <c r="N674" i="3" s="1"/>
  <c r="V674" i="3"/>
  <c r="A675" i="3"/>
  <c r="B675" i="3" s="1"/>
  <c r="W674" i="3" l="1"/>
  <c r="L674" i="3"/>
  <c r="P675" i="3"/>
  <c r="Q675" i="3" s="1"/>
  <c r="R675" i="3" s="1"/>
  <c r="S675" i="3" s="1"/>
  <c r="AD675" i="3"/>
  <c r="AA675" i="3"/>
  <c r="AC675" i="3"/>
  <c r="Z675" i="3"/>
  <c r="U674" i="3" l="1"/>
  <c r="Y673" i="3"/>
  <c r="T675" i="3"/>
  <c r="AH675" i="3" s="1"/>
  <c r="AG675" i="3" l="1"/>
  <c r="D675" i="3"/>
  <c r="E675" i="3"/>
  <c r="H675" i="3" s="1"/>
  <c r="F675" i="3" l="1"/>
  <c r="G675" i="3"/>
  <c r="K675" i="3"/>
  <c r="AE675" i="3" s="1"/>
  <c r="I675" i="3" l="1"/>
  <c r="J675" i="3"/>
  <c r="M675" i="3"/>
  <c r="N675" i="3" s="1"/>
  <c r="V675" i="3"/>
  <c r="A676" i="3"/>
  <c r="B676" i="3" s="1"/>
  <c r="W675" i="3" l="1"/>
  <c r="L675" i="3"/>
  <c r="AD676" i="3"/>
  <c r="AC676" i="3"/>
  <c r="P676" i="3"/>
  <c r="Q676" i="3" s="1"/>
  <c r="R676" i="3" s="1"/>
  <c r="S676" i="3" s="1"/>
  <c r="Z676" i="3"/>
  <c r="AA676" i="3"/>
  <c r="T676" i="3" l="1"/>
  <c r="U675" i="3"/>
  <c r="Y674" i="3"/>
  <c r="E676" i="3" l="1"/>
  <c r="H676" i="3" s="1"/>
  <c r="K676" i="3" s="1"/>
  <c r="AE676" i="3" s="1"/>
  <c r="AH676" i="3"/>
  <c r="D676" i="3"/>
  <c r="G676" i="3" s="1"/>
  <c r="AG676" i="3"/>
  <c r="F676" i="3" l="1"/>
  <c r="I676" i="3"/>
  <c r="J676" i="3"/>
  <c r="M676" i="3"/>
  <c r="N676" i="3" s="1"/>
  <c r="V676" i="3"/>
  <c r="A677" i="3"/>
  <c r="B677" i="3" s="1"/>
  <c r="W676" i="3" l="1"/>
  <c r="L676" i="3"/>
  <c r="AA677" i="3"/>
  <c r="AC677" i="3"/>
  <c r="Z677" i="3"/>
  <c r="P677" i="3"/>
  <c r="Q677" i="3" s="1"/>
  <c r="R677" i="3" s="1"/>
  <c r="S677" i="3" s="1"/>
  <c r="U676" i="3" l="1"/>
  <c r="Y675" i="3"/>
  <c r="T677" i="3"/>
  <c r="AG677" i="3" s="1"/>
  <c r="D677" i="3" l="1"/>
  <c r="G677" i="3" s="1"/>
  <c r="AH677" i="3"/>
  <c r="E677" i="3"/>
  <c r="H677" i="3" s="1"/>
  <c r="F677" i="3" l="1"/>
  <c r="I677" i="3"/>
  <c r="J677" i="3"/>
  <c r="AD677" i="3" s="1"/>
  <c r="M677" i="3"/>
  <c r="N677" i="3" s="1"/>
  <c r="K677" i="3"/>
  <c r="AE677" i="3" s="1"/>
  <c r="V677" i="3" l="1"/>
  <c r="W677" i="3" s="1"/>
  <c r="A678" i="3"/>
  <c r="B678" i="3" s="1"/>
  <c r="L677" i="3"/>
  <c r="U677" i="3" l="1"/>
  <c r="Y676" i="3"/>
  <c r="AD678" i="3"/>
  <c r="P678" i="3"/>
  <c r="Q678" i="3" s="1"/>
  <c r="R678" i="3" s="1"/>
  <c r="S678" i="3" s="1"/>
  <c r="Z678" i="3"/>
  <c r="AC678" i="3"/>
  <c r="AA678" i="3"/>
  <c r="T678" i="3" l="1"/>
  <c r="AH678" i="3" s="1"/>
  <c r="E678" i="3" l="1"/>
  <c r="H678" i="3" s="1"/>
  <c r="K678" i="3" s="1"/>
  <c r="AE678" i="3" s="1"/>
  <c r="D678" i="3"/>
  <c r="AG678" i="3"/>
  <c r="F678" i="3" l="1"/>
  <c r="G678" i="3"/>
  <c r="J678" i="3" s="1"/>
  <c r="V678" i="3"/>
  <c r="A679" i="3"/>
  <c r="B679" i="3" s="1"/>
  <c r="M678" i="3" l="1"/>
  <c r="N678" i="3" s="1"/>
  <c r="I678" i="3"/>
  <c r="W678" i="3" s="1"/>
  <c r="L678" i="3"/>
  <c r="P679" i="3"/>
  <c r="Q679" i="3" s="1"/>
  <c r="R679" i="3" s="1"/>
  <c r="S679" i="3" s="1"/>
  <c r="AA679" i="3"/>
  <c r="Z679" i="3"/>
  <c r="AD679" i="3"/>
  <c r="AC679" i="3"/>
  <c r="T679" i="3" l="1"/>
  <c r="U678" i="3"/>
  <c r="Y677" i="3"/>
  <c r="E679" i="3" l="1"/>
  <c r="H679" i="3" s="1"/>
  <c r="K679" i="3" s="1"/>
  <c r="AE679" i="3" s="1"/>
  <c r="AH679" i="3"/>
  <c r="AG679" i="3"/>
  <c r="D679" i="3"/>
  <c r="F679" i="3" l="1"/>
  <c r="G679" i="3"/>
  <c r="V679" i="3"/>
  <c r="A680" i="3"/>
  <c r="B680" i="3" s="1"/>
  <c r="AC680" i="3" l="1"/>
  <c r="P680" i="3"/>
  <c r="Q680" i="3" s="1"/>
  <c r="R680" i="3" s="1"/>
  <c r="S680" i="3" s="1"/>
  <c r="AA680" i="3"/>
  <c r="Z680" i="3"/>
  <c r="AD680" i="3"/>
  <c r="I679" i="3"/>
  <c r="W679" i="3" s="1"/>
  <c r="J679" i="3"/>
  <c r="M679" i="3"/>
  <c r="N679" i="3" s="1"/>
  <c r="L679" i="3" l="1"/>
  <c r="T680" i="3"/>
  <c r="AH680" i="3" l="1"/>
  <c r="U679" i="3"/>
  <c r="E680" i="3" s="1"/>
  <c r="H680" i="3" s="1"/>
  <c r="AG680" i="3"/>
  <c r="Y678" i="3"/>
  <c r="D680" i="3" l="1"/>
  <c r="G680" i="3" s="1"/>
  <c r="K680" i="3"/>
  <c r="AE680" i="3" s="1"/>
  <c r="F680" i="3" l="1"/>
  <c r="I680" i="3"/>
  <c r="J680" i="3"/>
  <c r="M680" i="3"/>
  <c r="N680" i="3" s="1"/>
  <c r="V680" i="3"/>
  <c r="A681" i="3"/>
  <c r="B681" i="3" s="1"/>
  <c r="W680" i="3" l="1"/>
  <c r="L680" i="3"/>
  <c r="AD681" i="3"/>
  <c r="AA681" i="3"/>
  <c r="P681" i="3"/>
  <c r="Q681" i="3" s="1"/>
  <c r="R681" i="3" s="1"/>
  <c r="S681" i="3" s="1"/>
  <c r="Z681" i="3"/>
  <c r="AC681" i="3"/>
  <c r="U680" i="3" l="1"/>
  <c r="Y679" i="3"/>
  <c r="T681" i="3"/>
  <c r="E681" i="3" l="1"/>
  <c r="H681" i="3" s="1"/>
  <c r="K681" i="3" s="1"/>
  <c r="AE681" i="3" s="1"/>
  <c r="AG681" i="3"/>
  <c r="AH681" i="3"/>
  <c r="D681" i="3"/>
  <c r="F681" i="3" l="1"/>
  <c r="G681" i="3"/>
  <c r="V681" i="3"/>
  <c r="A682" i="3"/>
  <c r="B682" i="3" s="1"/>
  <c r="AD682" i="3" l="1"/>
  <c r="Z682" i="3"/>
  <c r="P682" i="3"/>
  <c r="Q682" i="3" s="1"/>
  <c r="R682" i="3" s="1"/>
  <c r="S682" i="3" s="1"/>
  <c r="AC682" i="3"/>
  <c r="AA682" i="3"/>
  <c r="I681" i="3"/>
  <c r="W681" i="3" s="1"/>
  <c r="J681" i="3"/>
  <c r="M681" i="3"/>
  <c r="N681" i="3" s="1"/>
  <c r="L681" i="3" l="1"/>
  <c r="T682" i="3"/>
  <c r="U681" i="3" l="1"/>
  <c r="E682" i="3" s="1"/>
  <c r="H682" i="3" s="1"/>
  <c r="AG682" i="3"/>
  <c r="AH682" i="3"/>
  <c r="Y680" i="3"/>
  <c r="D682" i="3" l="1"/>
  <c r="G682" i="3" s="1"/>
  <c r="K682" i="3"/>
  <c r="AE682" i="3" s="1"/>
  <c r="F682" i="3" l="1"/>
  <c r="V682" i="3"/>
  <c r="A683" i="3"/>
  <c r="B683" i="3" s="1"/>
  <c r="I682" i="3"/>
  <c r="J682" i="3"/>
  <c r="M682" i="3"/>
  <c r="N682" i="3" s="1"/>
  <c r="W682" i="3" l="1"/>
  <c r="L682" i="3"/>
  <c r="P683" i="3"/>
  <c r="Q683" i="3" s="1"/>
  <c r="R683" i="3" s="1"/>
  <c r="S683" i="3" s="1"/>
  <c r="AC683" i="3"/>
  <c r="AD683" i="3"/>
  <c r="AA683" i="3"/>
  <c r="Z683" i="3"/>
  <c r="U682" i="3" l="1"/>
  <c r="Y681" i="3"/>
  <c r="T683" i="3"/>
  <c r="E683" i="3" l="1"/>
  <c r="H683" i="3" s="1"/>
  <c r="K683" i="3" s="1"/>
  <c r="AE683" i="3" s="1"/>
  <c r="AH683" i="3"/>
  <c r="AG683" i="3"/>
  <c r="D683" i="3"/>
  <c r="F683" i="3" l="1"/>
  <c r="G683" i="3"/>
  <c r="V683" i="3"/>
  <c r="A684" i="3"/>
  <c r="B684" i="3" s="1"/>
  <c r="Z684" i="3" l="1"/>
  <c r="AA684" i="3"/>
  <c r="AC684" i="3"/>
  <c r="P684" i="3"/>
  <c r="Q684" i="3" s="1"/>
  <c r="R684" i="3" s="1"/>
  <c r="S684" i="3" s="1"/>
  <c r="I683" i="3"/>
  <c r="W683" i="3" s="1"/>
  <c r="J683" i="3"/>
  <c r="M683" i="3"/>
  <c r="N683" i="3" s="1"/>
  <c r="T684" i="3" l="1"/>
  <c r="L683" i="3"/>
  <c r="AH684" i="3" l="1"/>
  <c r="AG684" i="3"/>
  <c r="U683" i="3"/>
  <c r="D684" i="3" s="1"/>
  <c r="Y682" i="3"/>
  <c r="E684" i="3" l="1"/>
  <c r="H684" i="3" s="1"/>
  <c r="K684" i="3" s="1"/>
  <c r="AE684" i="3" s="1"/>
  <c r="G684" i="3"/>
  <c r="F684" i="3" l="1"/>
  <c r="V684" i="3"/>
  <c r="A685" i="3"/>
  <c r="B685" i="3" s="1"/>
  <c r="I684" i="3"/>
  <c r="J684" i="3"/>
  <c r="AD684" i="3" s="1"/>
  <c r="M684" i="3"/>
  <c r="N684" i="3" s="1"/>
  <c r="W684" i="3" l="1"/>
  <c r="L684" i="3"/>
  <c r="P685" i="3"/>
  <c r="Q685" i="3" s="1"/>
  <c r="R685" i="3" s="1"/>
  <c r="S685" i="3" s="1"/>
  <c r="Z685" i="3"/>
  <c r="AC685" i="3"/>
  <c r="AD685" i="3"/>
  <c r="AA685" i="3"/>
  <c r="U684" i="3" l="1"/>
  <c r="Y683" i="3"/>
  <c r="T685" i="3"/>
  <c r="AG685" i="3" s="1"/>
  <c r="D685" i="3" l="1"/>
  <c r="G685" i="3" s="1"/>
  <c r="E685" i="3"/>
  <c r="H685" i="3" s="1"/>
  <c r="AH685" i="3"/>
  <c r="F685" i="3" l="1"/>
  <c r="I685" i="3"/>
  <c r="J685" i="3"/>
  <c r="M685" i="3"/>
  <c r="N685" i="3" s="1"/>
  <c r="K685" i="3"/>
  <c r="AE685" i="3" s="1"/>
  <c r="V685" i="3" l="1"/>
  <c r="W685" i="3" s="1"/>
  <c r="A686" i="3"/>
  <c r="B686" i="3" s="1"/>
  <c r="L685" i="3"/>
  <c r="U685" i="3" l="1"/>
  <c r="Y684" i="3"/>
  <c r="AA686" i="3"/>
  <c r="AC686" i="3"/>
  <c r="AD686" i="3"/>
  <c r="P686" i="3"/>
  <c r="Q686" i="3" s="1"/>
  <c r="R686" i="3" s="1"/>
  <c r="S686" i="3" s="1"/>
  <c r="Z686" i="3"/>
  <c r="T686" i="3" l="1"/>
  <c r="D686" i="3" s="1"/>
  <c r="E686" i="3" l="1"/>
  <c r="H686" i="3" s="1"/>
  <c r="K686" i="3" s="1"/>
  <c r="AE686" i="3" s="1"/>
  <c r="AG686" i="3"/>
  <c r="AH686" i="3"/>
  <c r="G686" i="3"/>
  <c r="F686" i="3" l="1"/>
  <c r="V686" i="3"/>
  <c r="A687" i="3"/>
  <c r="B687" i="3" s="1"/>
  <c r="I686" i="3"/>
  <c r="J686" i="3"/>
  <c r="M686" i="3"/>
  <c r="N686" i="3" s="1"/>
  <c r="L686" i="3" l="1"/>
  <c r="W686" i="3"/>
  <c r="Z687" i="3"/>
  <c r="P687" i="3"/>
  <c r="Q687" i="3" s="1"/>
  <c r="R687" i="3" s="1"/>
  <c r="S687" i="3" s="1"/>
  <c r="AA687" i="3"/>
  <c r="AC687" i="3"/>
  <c r="U686" i="3" l="1"/>
  <c r="Y685" i="3"/>
  <c r="T687" i="3"/>
  <c r="AG687" i="3" s="1"/>
  <c r="AH687" i="3" l="1"/>
  <c r="D687" i="3"/>
  <c r="G687" i="3" s="1"/>
  <c r="E687" i="3"/>
  <c r="H687" i="3" s="1"/>
  <c r="K687" i="3" s="1"/>
  <c r="AE687" i="3" s="1"/>
  <c r="F687" i="3" l="1"/>
  <c r="I687" i="3"/>
  <c r="J687" i="3"/>
  <c r="AD687" i="3" s="1"/>
  <c r="M687" i="3"/>
  <c r="N687" i="3" s="1"/>
  <c r="V687" i="3"/>
  <c r="A688" i="3"/>
  <c r="B688" i="3" s="1"/>
  <c r="W687" i="3" l="1"/>
  <c r="L687" i="3"/>
  <c r="AC688" i="3"/>
  <c r="AA688" i="3"/>
  <c r="AD688" i="3"/>
  <c r="P688" i="3"/>
  <c r="Q688" i="3" s="1"/>
  <c r="R688" i="3" s="1"/>
  <c r="S688" i="3" s="1"/>
  <c r="Z688" i="3"/>
  <c r="U687" i="3" l="1"/>
  <c r="Y686" i="3"/>
  <c r="T688" i="3"/>
  <c r="AG688" i="3" s="1"/>
  <c r="E688" i="3" l="1"/>
  <c r="H688" i="3" s="1"/>
  <c r="K688" i="3" s="1"/>
  <c r="AE688" i="3" s="1"/>
  <c r="AH688" i="3"/>
  <c r="D688" i="3"/>
  <c r="F688" i="3" l="1"/>
  <c r="G688" i="3"/>
  <c r="V688" i="3"/>
  <c r="A689" i="3"/>
  <c r="B689" i="3" s="1"/>
  <c r="AA689" i="3" l="1"/>
  <c r="P689" i="3"/>
  <c r="Q689" i="3" s="1"/>
  <c r="R689" i="3" s="1"/>
  <c r="S689" i="3" s="1"/>
  <c r="Z689" i="3"/>
  <c r="AD689" i="3"/>
  <c r="AC689" i="3"/>
  <c r="I688" i="3"/>
  <c r="W688" i="3" s="1"/>
  <c r="J688" i="3"/>
  <c r="M688" i="3"/>
  <c r="N688" i="3" s="1"/>
  <c r="T689" i="3" l="1"/>
  <c r="L688" i="3"/>
  <c r="U688" i="3" l="1"/>
  <c r="D689" i="3" s="1"/>
  <c r="AG689" i="3"/>
  <c r="AH689" i="3"/>
  <c r="Y687" i="3"/>
  <c r="E689" i="3" l="1"/>
  <c r="H689" i="3" s="1"/>
  <c r="K689" i="3" s="1"/>
  <c r="AE689" i="3" s="1"/>
  <c r="G689" i="3"/>
  <c r="F689" i="3" l="1"/>
  <c r="I689" i="3"/>
  <c r="J689" i="3"/>
  <c r="M689" i="3"/>
  <c r="N689" i="3" s="1"/>
  <c r="V689" i="3"/>
  <c r="A690" i="3"/>
  <c r="B690" i="3" s="1"/>
  <c r="W689" i="3" l="1"/>
  <c r="L689" i="3"/>
  <c r="AA690" i="3"/>
  <c r="AC690" i="3"/>
  <c r="P690" i="3"/>
  <c r="Q690" i="3" s="1"/>
  <c r="R690" i="3" s="1"/>
  <c r="S690" i="3" s="1"/>
  <c r="AD690" i="3"/>
  <c r="Z690" i="3"/>
  <c r="U689" i="3" l="1"/>
  <c r="Y688" i="3"/>
  <c r="T690" i="3"/>
  <c r="AH690" i="3" s="1"/>
  <c r="D690" i="3" l="1"/>
  <c r="G690" i="3" s="1"/>
  <c r="E690" i="3"/>
  <c r="H690" i="3" s="1"/>
  <c r="K690" i="3" s="1"/>
  <c r="AE690" i="3" s="1"/>
  <c r="AG690" i="3"/>
  <c r="F690" i="3" l="1"/>
  <c r="I690" i="3"/>
  <c r="J690" i="3"/>
  <c r="M690" i="3"/>
  <c r="N690" i="3" s="1"/>
  <c r="V690" i="3"/>
  <c r="A691" i="3"/>
  <c r="B691" i="3" s="1"/>
  <c r="W690" i="3" l="1"/>
  <c r="L690" i="3"/>
  <c r="AA691" i="3"/>
  <c r="Z691" i="3"/>
  <c r="P691" i="3"/>
  <c r="Q691" i="3" s="1"/>
  <c r="R691" i="3" s="1"/>
  <c r="S691" i="3" s="1"/>
  <c r="AD691" i="3"/>
  <c r="AC691" i="3"/>
  <c r="T691" i="3" l="1"/>
  <c r="U690" i="3"/>
  <c r="Y689" i="3"/>
  <c r="D691" i="3" l="1"/>
  <c r="G691" i="3" s="1"/>
  <c r="AH691" i="3"/>
  <c r="E691" i="3"/>
  <c r="H691" i="3" s="1"/>
  <c r="AG691" i="3"/>
  <c r="F691" i="3" l="1"/>
  <c r="I691" i="3"/>
  <c r="J691" i="3"/>
  <c r="M691" i="3"/>
  <c r="N691" i="3" s="1"/>
  <c r="K691" i="3"/>
  <c r="AE691" i="3" s="1"/>
  <c r="V691" i="3" l="1"/>
  <c r="W691" i="3" s="1"/>
  <c r="A692" i="3"/>
  <c r="B692" i="3" s="1"/>
  <c r="L691" i="3"/>
  <c r="U691" i="3" l="1"/>
  <c r="Y690" i="3"/>
  <c r="AC692" i="3"/>
  <c r="AD692" i="3"/>
  <c r="AA692" i="3"/>
  <c r="Z692" i="3"/>
  <c r="P692" i="3"/>
  <c r="Q692" i="3" s="1"/>
  <c r="R692" i="3" s="1"/>
  <c r="S692" i="3" s="1"/>
  <c r="T692" i="3" l="1"/>
  <c r="E692" i="3" s="1"/>
  <c r="H692" i="3" s="1"/>
  <c r="D692" i="3" l="1"/>
  <c r="G692" i="3" s="1"/>
  <c r="AH692" i="3"/>
  <c r="K692" i="3"/>
  <c r="AE692" i="3" s="1"/>
  <c r="AG692" i="3"/>
  <c r="F692" i="3" l="1"/>
  <c r="I692" i="3"/>
  <c r="J692" i="3"/>
  <c r="M692" i="3"/>
  <c r="N692" i="3" s="1"/>
  <c r="V692" i="3"/>
  <c r="A693" i="3"/>
  <c r="B693" i="3" s="1"/>
  <c r="W692" i="3" l="1"/>
  <c r="L692" i="3"/>
  <c r="AC693" i="3"/>
  <c r="AA693" i="3"/>
  <c r="AD693" i="3"/>
  <c r="P693" i="3"/>
  <c r="Q693" i="3" s="1"/>
  <c r="R693" i="3" s="1"/>
  <c r="S693" i="3" s="1"/>
  <c r="Z693" i="3"/>
  <c r="U692" i="3" l="1"/>
  <c r="Y691" i="3"/>
  <c r="T693" i="3"/>
  <c r="AG693" i="3" s="1"/>
  <c r="D693" i="3" l="1"/>
  <c r="G693" i="3" s="1"/>
  <c r="E693" i="3"/>
  <c r="H693" i="3" s="1"/>
  <c r="K693" i="3" s="1"/>
  <c r="AE693" i="3" s="1"/>
  <c r="AH693" i="3"/>
  <c r="F693" i="3" l="1"/>
  <c r="V693" i="3"/>
  <c r="A694" i="3"/>
  <c r="B694" i="3" s="1"/>
  <c r="I693" i="3"/>
  <c r="J693" i="3"/>
  <c r="M693" i="3"/>
  <c r="N693" i="3" s="1"/>
  <c r="W693" i="3" l="1"/>
  <c r="L693" i="3"/>
  <c r="AA694" i="3"/>
  <c r="AC694" i="3"/>
  <c r="P694" i="3"/>
  <c r="Q694" i="3" s="1"/>
  <c r="R694" i="3" s="1"/>
  <c r="S694" i="3" s="1"/>
  <c r="Z694" i="3"/>
  <c r="U693" i="3" l="1"/>
  <c r="Y692" i="3"/>
  <c r="T694" i="3"/>
  <c r="AG694" i="3" s="1"/>
  <c r="E694" i="3" l="1"/>
  <c r="H694" i="3" s="1"/>
  <c r="K694" i="3" s="1"/>
  <c r="AE694" i="3" s="1"/>
  <c r="AH694" i="3"/>
  <c r="D694" i="3"/>
  <c r="G694" i="3" s="1"/>
  <c r="F694" i="3" l="1"/>
  <c r="I694" i="3"/>
  <c r="J694" i="3"/>
  <c r="AD694" i="3" s="1"/>
  <c r="M694" i="3"/>
  <c r="N694" i="3" s="1"/>
  <c r="V694" i="3"/>
  <c r="A695" i="3"/>
  <c r="B695" i="3" s="1"/>
  <c r="W694" i="3" l="1"/>
  <c r="L694" i="3"/>
  <c r="AD695" i="3"/>
  <c r="Z695" i="3"/>
  <c r="P695" i="3"/>
  <c r="Q695" i="3" s="1"/>
  <c r="R695" i="3" s="1"/>
  <c r="S695" i="3" s="1"/>
  <c r="AC695" i="3"/>
  <c r="AA695" i="3"/>
  <c r="U694" i="3" l="1"/>
  <c r="Y693" i="3"/>
  <c r="T695" i="3"/>
  <c r="E695" i="3" l="1"/>
  <c r="H695" i="3" s="1"/>
  <c r="K695" i="3" s="1"/>
  <c r="AE695" i="3" s="1"/>
  <c r="D695" i="3"/>
  <c r="AG695" i="3"/>
  <c r="AH695" i="3"/>
  <c r="V695" i="3" l="1"/>
  <c r="A696" i="3"/>
  <c r="B696" i="3" s="1"/>
  <c r="F695" i="3"/>
  <c r="G695" i="3"/>
  <c r="I695" i="3" l="1"/>
  <c r="W695" i="3" s="1"/>
  <c r="J695" i="3"/>
  <c r="M695" i="3"/>
  <c r="N695" i="3" s="1"/>
  <c r="AD696" i="3"/>
  <c r="AA696" i="3"/>
  <c r="Z696" i="3"/>
  <c r="P696" i="3"/>
  <c r="Q696" i="3" s="1"/>
  <c r="R696" i="3" s="1"/>
  <c r="S696" i="3" s="1"/>
  <c r="AC696" i="3"/>
  <c r="T696" i="3" l="1"/>
  <c r="L695" i="3"/>
  <c r="AH696" i="3" l="1"/>
  <c r="U695" i="3"/>
  <c r="D696" i="3" s="1"/>
  <c r="AG696" i="3"/>
  <c r="Y694" i="3"/>
  <c r="E696" i="3" l="1"/>
  <c r="H696" i="3" s="1"/>
  <c r="K696" i="3" s="1"/>
  <c r="AE696" i="3" s="1"/>
  <c r="G696" i="3"/>
  <c r="F696" i="3" l="1"/>
  <c r="V696" i="3"/>
  <c r="A697" i="3"/>
  <c r="B697" i="3" s="1"/>
  <c r="I696" i="3"/>
  <c r="J696" i="3"/>
  <c r="M696" i="3"/>
  <c r="N696" i="3" s="1"/>
  <c r="W696" i="3" l="1"/>
  <c r="P697" i="3"/>
  <c r="Q697" i="3" s="1"/>
  <c r="R697" i="3" s="1"/>
  <c r="S697" i="3" s="1"/>
  <c r="Z697" i="3"/>
  <c r="AA697" i="3"/>
  <c r="AC697" i="3"/>
  <c r="L696" i="3"/>
  <c r="U696" i="3" l="1"/>
  <c r="Y695" i="3"/>
  <c r="T697" i="3"/>
  <c r="E697" i="3" l="1"/>
  <c r="H697" i="3" s="1"/>
  <c r="K697" i="3" s="1"/>
  <c r="AE697" i="3" s="1"/>
  <c r="D697" i="3"/>
  <c r="AH697" i="3"/>
  <c r="AG697" i="3"/>
  <c r="F697" i="3" l="1"/>
  <c r="G697" i="3"/>
  <c r="M697" i="3" s="1"/>
  <c r="N697" i="3" s="1"/>
  <c r="V697" i="3"/>
  <c r="A698" i="3"/>
  <c r="B698" i="3" s="1"/>
  <c r="I697" i="3" l="1"/>
  <c r="W697" i="3" s="1"/>
  <c r="J697" i="3"/>
  <c r="AD698" i="3"/>
  <c r="AA698" i="3"/>
  <c r="Z698" i="3"/>
  <c r="AC698" i="3"/>
  <c r="P698" i="3"/>
  <c r="Q698" i="3" s="1"/>
  <c r="R698" i="3" s="1"/>
  <c r="S698" i="3" s="1"/>
  <c r="L697" i="3" l="1"/>
  <c r="U697" i="3" s="1"/>
  <c r="AD697" i="3"/>
  <c r="Y696" i="3"/>
  <c r="T698" i="3"/>
  <c r="AG698" i="3" s="1"/>
  <c r="E698" i="3" l="1"/>
  <c r="H698" i="3" s="1"/>
  <c r="K698" i="3" s="1"/>
  <c r="AE698" i="3" s="1"/>
  <c r="AH698" i="3"/>
  <c r="D698" i="3"/>
  <c r="F698" i="3" l="1"/>
  <c r="G698" i="3"/>
  <c r="J698" i="3" s="1"/>
  <c r="V698" i="3"/>
  <c r="A699" i="3"/>
  <c r="B699" i="3" s="1"/>
  <c r="M698" i="3" l="1"/>
  <c r="N698" i="3" s="1"/>
  <c r="I698" i="3"/>
  <c r="W698" i="3" s="1"/>
  <c r="L698" i="3"/>
  <c r="Z699" i="3"/>
  <c r="P699" i="3"/>
  <c r="Q699" i="3" s="1"/>
  <c r="R699" i="3" s="1"/>
  <c r="S699" i="3" s="1"/>
  <c r="AA699" i="3"/>
  <c r="AD699" i="3"/>
  <c r="AC699" i="3"/>
  <c r="T699" i="3" l="1"/>
  <c r="U698" i="3"/>
  <c r="Y697" i="3"/>
  <c r="D699" i="3" l="1"/>
  <c r="G699" i="3" s="1"/>
  <c r="AG699" i="3"/>
  <c r="AH699" i="3"/>
  <c r="E699" i="3"/>
  <c r="H699" i="3" s="1"/>
  <c r="K699" i="3" l="1"/>
  <c r="AE699" i="3" s="1"/>
  <c r="I699" i="3"/>
  <c r="J699" i="3"/>
  <c r="M699" i="3"/>
  <c r="N699" i="3" s="1"/>
  <c r="F699" i="3"/>
  <c r="L699" i="3" l="1"/>
  <c r="V699" i="3"/>
  <c r="W699" i="3" s="1"/>
  <c r="A700" i="3"/>
  <c r="B700" i="3" s="1"/>
  <c r="U699" i="3" l="1"/>
  <c r="Y698" i="3"/>
  <c r="Z700" i="3"/>
  <c r="P700" i="3"/>
  <c r="Q700" i="3" s="1"/>
  <c r="R700" i="3" s="1"/>
  <c r="S700" i="3" s="1"/>
  <c r="AD700" i="3"/>
  <c r="AC700" i="3"/>
  <c r="AA700" i="3"/>
  <c r="T700" i="3" l="1"/>
  <c r="D700" i="3" s="1"/>
  <c r="AH700" i="3" l="1"/>
  <c r="AG700" i="3"/>
  <c r="E700" i="3"/>
  <c r="H700" i="3" s="1"/>
  <c r="K700" i="3" s="1"/>
  <c r="AE700" i="3" s="1"/>
  <c r="G700" i="3"/>
  <c r="F700" i="3" l="1"/>
  <c r="I700" i="3"/>
  <c r="J700" i="3"/>
  <c r="M700" i="3"/>
  <c r="N700" i="3" s="1"/>
  <c r="V700" i="3"/>
  <c r="A701" i="3"/>
  <c r="B701" i="3" s="1"/>
  <c r="W700" i="3" l="1"/>
  <c r="L700" i="3"/>
  <c r="AC701" i="3"/>
  <c r="AA701" i="3"/>
  <c r="Z701" i="3"/>
  <c r="P701" i="3"/>
  <c r="Q701" i="3" s="1"/>
  <c r="R701" i="3" s="1"/>
  <c r="S701" i="3" s="1"/>
  <c r="AD701" i="3"/>
  <c r="U700" i="3" l="1"/>
  <c r="Y699" i="3"/>
  <c r="T701" i="3"/>
  <c r="AG701" i="3" s="1"/>
  <c r="AH701" i="3" l="1"/>
  <c r="E701" i="3"/>
  <c r="H701" i="3" s="1"/>
  <c r="D701" i="3"/>
  <c r="F701" i="3" l="1"/>
  <c r="G701" i="3"/>
  <c r="K701" i="3"/>
  <c r="AE701" i="3" s="1"/>
  <c r="I701" i="3" l="1"/>
  <c r="J701" i="3"/>
  <c r="M701" i="3"/>
  <c r="N701" i="3" s="1"/>
  <c r="V701" i="3"/>
  <c r="A702" i="3"/>
  <c r="B702" i="3" s="1"/>
  <c r="W701" i="3" l="1"/>
  <c r="L701" i="3"/>
  <c r="AC702" i="3"/>
  <c r="AD702" i="3"/>
  <c r="P702" i="3"/>
  <c r="Q702" i="3" s="1"/>
  <c r="R702" i="3" s="1"/>
  <c r="S702" i="3" s="1"/>
  <c r="Z702" i="3"/>
  <c r="AA702" i="3"/>
  <c r="U701" i="3" l="1"/>
  <c r="Y700" i="3"/>
  <c r="T702" i="3"/>
  <c r="AH702" i="3" s="1"/>
  <c r="D702" i="3" l="1"/>
  <c r="G702" i="3" s="1"/>
  <c r="E702" i="3"/>
  <c r="H702" i="3" s="1"/>
  <c r="K702" i="3" s="1"/>
  <c r="AE702" i="3" s="1"/>
  <c r="AG702" i="3"/>
  <c r="F702" i="3" l="1"/>
  <c r="V702" i="3"/>
  <c r="A703" i="3"/>
  <c r="B703" i="3" s="1"/>
  <c r="I702" i="3"/>
  <c r="J702" i="3"/>
  <c r="M702" i="3"/>
  <c r="N702" i="3" s="1"/>
  <c r="W702" i="3" l="1"/>
  <c r="L702" i="3"/>
  <c r="AC703" i="3"/>
  <c r="P703" i="3"/>
  <c r="Q703" i="3" s="1"/>
  <c r="R703" i="3" s="1"/>
  <c r="S703" i="3" s="1"/>
  <c r="AA703" i="3"/>
  <c r="Z703" i="3"/>
  <c r="T703" i="3" l="1"/>
  <c r="AH703" i="3" s="1"/>
  <c r="U702" i="3"/>
  <c r="Y701" i="3"/>
  <c r="E703" i="3" l="1"/>
  <c r="H703" i="3" s="1"/>
  <c r="K703" i="3" s="1"/>
  <c r="AE703" i="3" s="1"/>
  <c r="AG703" i="3"/>
  <c r="D703" i="3"/>
  <c r="F703" i="3" l="1"/>
  <c r="G703" i="3"/>
  <c r="V703" i="3"/>
  <c r="A704" i="3"/>
  <c r="B704" i="3" s="1"/>
  <c r="P704" i="3" l="1"/>
  <c r="Q704" i="3" s="1"/>
  <c r="R704" i="3" s="1"/>
  <c r="S704" i="3" s="1"/>
  <c r="AC704" i="3"/>
  <c r="Z704" i="3"/>
  <c r="AA704" i="3"/>
  <c r="I703" i="3"/>
  <c r="W703" i="3" s="1"/>
  <c r="J703" i="3"/>
  <c r="AD703" i="3" s="1"/>
  <c r="M703" i="3"/>
  <c r="N703" i="3" s="1"/>
  <c r="T704" i="3" l="1"/>
  <c r="L703" i="3"/>
  <c r="U703" i="3" l="1"/>
  <c r="D704" i="3" s="1"/>
  <c r="AG704" i="3"/>
  <c r="AH704" i="3"/>
  <c r="Y702" i="3"/>
  <c r="G704" i="3" l="1"/>
  <c r="E704" i="3"/>
  <c r="H704" i="3" s="1"/>
  <c r="F704" i="3" l="1"/>
  <c r="I704" i="3"/>
  <c r="J704" i="3"/>
  <c r="AD704" i="3" s="1"/>
  <c r="M704" i="3"/>
  <c r="N704" i="3" s="1"/>
  <c r="K704" i="3"/>
  <c r="AE704" i="3" s="1"/>
  <c r="V704" i="3" l="1"/>
  <c r="W704" i="3" s="1"/>
  <c r="A705" i="3"/>
  <c r="B705" i="3" s="1"/>
  <c r="L704" i="3"/>
  <c r="U704" i="3" l="1"/>
  <c r="Y703" i="3"/>
  <c r="Z705" i="3"/>
  <c r="P705" i="3"/>
  <c r="Q705" i="3" s="1"/>
  <c r="R705" i="3" s="1"/>
  <c r="S705" i="3" s="1"/>
  <c r="AC705" i="3"/>
  <c r="AA705" i="3"/>
  <c r="T705" i="3" l="1"/>
  <c r="AH705" i="3" s="1"/>
  <c r="AG705" i="3" l="1"/>
  <c r="D705" i="3"/>
  <c r="E705" i="3"/>
  <c r="H705" i="3" s="1"/>
  <c r="F705" i="3" l="1"/>
  <c r="G705" i="3"/>
  <c r="K705" i="3"/>
  <c r="AE705" i="3" s="1"/>
  <c r="I705" i="3" l="1"/>
  <c r="J705" i="3"/>
  <c r="AD705" i="3" s="1"/>
  <c r="M705" i="3"/>
  <c r="N705" i="3" s="1"/>
  <c r="V705" i="3"/>
  <c r="A706" i="3"/>
  <c r="B706" i="3" s="1"/>
  <c r="W705" i="3" l="1"/>
  <c r="L705" i="3"/>
  <c r="P706" i="3"/>
  <c r="Q706" i="3" s="1"/>
  <c r="R706" i="3" s="1"/>
  <c r="S706" i="3" s="1"/>
  <c r="AA706" i="3"/>
  <c r="AC706" i="3"/>
  <c r="Z706" i="3"/>
  <c r="U705" i="3" l="1"/>
  <c r="Y704" i="3"/>
  <c r="T706" i="3"/>
  <c r="AH706" i="3" s="1"/>
  <c r="E706" i="3" l="1"/>
  <c r="H706" i="3" s="1"/>
  <c r="D706" i="3"/>
  <c r="AG706" i="3"/>
  <c r="K706" i="3" l="1"/>
  <c r="AE706" i="3" s="1"/>
  <c r="F706" i="3"/>
  <c r="G706" i="3"/>
  <c r="I706" i="3" l="1"/>
  <c r="J706" i="3"/>
  <c r="AD706" i="3" s="1"/>
  <c r="M706" i="3"/>
  <c r="N706" i="3" s="1"/>
  <c r="V706" i="3"/>
  <c r="A707" i="3"/>
  <c r="B707" i="3" s="1"/>
  <c r="W706" i="3" l="1"/>
  <c r="P707" i="3"/>
  <c r="Q707" i="3" s="1"/>
  <c r="R707" i="3" s="1"/>
  <c r="S707" i="3" s="1"/>
  <c r="Z707" i="3"/>
  <c r="AC707" i="3"/>
  <c r="AA707" i="3"/>
  <c r="L706" i="3"/>
  <c r="T707" i="3" l="1"/>
  <c r="AG707" i="3" s="1"/>
  <c r="U706" i="3"/>
  <c r="Y705" i="3"/>
  <c r="E707" i="3" l="1"/>
  <c r="H707" i="3" s="1"/>
  <c r="K707" i="3" s="1"/>
  <c r="AE707" i="3" s="1"/>
  <c r="D707" i="3"/>
  <c r="AH707" i="3"/>
  <c r="V707" i="3" l="1"/>
  <c r="A708" i="3"/>
  <c r="B708" i="3" s="1"/>
  <c r="F707" i="3"/>
  <c r="G707" i="3"/>
  <c r="I707" i="3" l="1"/>
  <c r="W707" i="3" s="1"/>
  <c r="J707" i="3"/>
  <c r="AD707" i="3" s="1"/>
  <c r="M707" i="3"/>
  <c r="N707" i="3" s="1"/>
  <c r="P708" i="3"/>
  <c r="Q708" i="3" s="1"/>
  <c r="R708" i="3" s="1"/>
  <c r="S708" i="3" s="1"/>
  <c r="AC708" i="3"/>
  <c r="Z708" i="3"/>
  <c r="AA708" i="3"/>
  <c r="T708" i="3" l="1"/>
  <c r="L707" i="3"/>
  <c r="U707" i="3" l="1"/>
  <c r="D708" i="3" s="1"/>
  <c r="AG708" i="3"/>
  <c r="AH708" i="3"/>
  <c r="Y706" i="3"/>
  <c r="E708" i="3" l="1"/>
  <c r="H708" i="3" s="1"/>
  <c r="K708" i="3" s="1"/>
  <c r="AE708" i="3" s="1"/>
  <c r="G708" i="3"/>
  <c r="F708" i="3" l="1"/>
  <c r="I708" i="3"/>
  <c r="J708" i="3"/>
  <c r="AD708" i="3" s="1"/>
  <c r="M708" i="3"/>
  <c r="N708" i="3" s="1"/>
  <c r="V708" i="3"/>
  <c r="A709" i="3"/>
  <c r="B709" i="3" s="1"/>
  <c r="W708" i="3" l="1"/>
  <c r="L708" i="3"/>
  <c r="Z709" i="3"/>
  <c r="AA709" i="3"/>
  <c r="P709" i="3"/>
  <c r="Q709" i="3" s="1"/>
  <c r="R709" i="3" s="1"/>
  <c r="S709" i="3" s="1"/>
  <c r="AC709" i="3"/>
  <c r="U708" i="3" l="1"/>
  <c r="Y707" i="3"/>
  <c r="T709" i="3"/>
  <c r="AG709" i="3" s="1"/>
  <c r="AH709" i="3" l="1"/>
  <c r="E709" i="3"/>
  <c r="H709" i="3" s="1"/>
  <c r="D709" i="3"/>
  <c r="F709" i="3" l="1"/>
  <c r="G709" i="3"/>
  <c r="K709" i="3"/>
  <c r="AE709" i="3" s="1"/>
  <c r="V709" i="3" l="1"/>
  <c r="A710" i="3"/>
  <c r="B710" i="3" s="1"/>
  <c r="I709" i="3"/>
  <c r="J709" i="3"/>
  <c r="AD709" i="3" s="1"/>
  <c r="M709" i="3"/>
  <c r="N709" i="3" s="1"/>
  <c r="W709" i="3" l="1"/>
  <c r="L709" i="3"/>
  <c r="AC710" i="3"/>
  <c r="Z710" i="3"/>
  <c r="AA710" i="3"/>
  <c r="P710" i="3"/>
  <c r="Q710" i="3" s="1"/>
  <c r="R710" i="3" s="1"/>
  <c r="S710" i="3" s="1"/>
  <c r="U709" i="3" l="1"/>
  <c r="Y708" i="3"/>
  <c r="T710" i="3"/>
  <c r="AH710" i="3" s="1"/>
  <c r="D710" i="3" l="1"/>
  <c r="E710" i="3"/>
  <c r="H710" i="3" s="1"/>
  <c r="AG710" i="3"/>
  <c r="F710" i="3" l="1"/>
  <c r="G710" i="3"/>
  <c r="K710" i="3"/>
  <c r="AE710" i="3" s="1"/>
  <c r="I710" i="3" l="1"/>
  <c r="J710" i="3"/>
  <c r="AD710" i="3" s="1"/>
  <c r="M710" i="3"/>
  <c r="N710" i="3" s="1"/>
  <c r="V710" i="3"/>
  <c r="A711" i="3"/>
  <c r="B711" i="3" s="1"/>
  <c r="W710" i="3" l="1"/>
  <c r="L710" i="3"/>
  <c r="AA711" i="3"/>
  <c r="AC711" i="3"/>
  <c r="Z711" i="3"/>
  <c r="P711" i="3"/>
  <c r="Q711" i="3" s="1"/>
  <c r="R711" i="3" s="1"/>
  <c r="S711" i="3" s="1"/>
  <c r="T711" i="3" l="1"/>
  <c r="U710" i="3"/>
  <c r="Y709" i="3"/>
  <c r="D711" i="3" l="1"/>
  <c r="G711" i="3" s="1"/>
  <c r="E711" i="3"/>
  <c r="H711" i="3" s="1"/>
  <c r="AH711" i="3"/>
  <c r="AG711" i="3"/>
  <c r="F711" i="3" l="1"/>
  <c r="K711" i="3"/>
  <c r="AE711" i="3" s="1"/>
  <c r="I711" i="3"/>
  <c r="J711" i="3"/>
  <c r="AD711" i="3" s="1"/>
  <c r="M711" i="3"/>
  <c r="N711" i="3" s="1"/>
  <c r="L711" i="3" l="1"/>
  <c r="V711" i="3"/>
  <c r="W711" i="3" s="1"/>
  <c r="A712" i="3"/>
  <c r="B712" i="3" s="1"/>
  <c r="AC712" i="3" l="1"/>
  <c r="P712" i="3"/>
  <c r="Q712" i="3" s="1"/>
  <c r="R712" i="3" s="1"/>
  <c r="S712" i="3" s="1"/>
  <c r="AA712" i="3"/>
  <c r="Z712" i="3"/>
  <c r="U711" i="3"/>
  <c r="Y710" i="3"/>
  <c r="T712" i="3" l="1"/>
  <c r="AG712" i="3" l="1"/>
  <c r="D712" i="3"/>
  <c r="E712" i="3"/>
  <c r="H712" i="3" s="1"/>
  <c r="AH712" i="3"/>
  <c r="K712" i="3" l="1"/>
  <c r="AE712" i="3" s="1"/>
  <c r="F712" i="3"/>
  <c r="G712" i="3"/>
  <c r="V712" i="3" l="1"/>
  <c r="A713" i="3"/>
  <c r="B713" i="3" s="1"/>
  <c r="I712" i="3"/>
  <c r="J712" i="3"/>
  <c r="AD712" i="3" s="1"/>
  <c r="M712" i="3"/>
  <c r="N712" i="3" s="1"/>
  <c r="W712" i="3" l="1"/>
  <c r="L712" i="3"/>
  <c r="Z713" i="3"/>
  <c r="P713" i="3"/>
  <c r="Q713" i="3" s="1"/>
  <c r="R713" i="3" s="1"/>
  <c r="S713" i="3" s="1"/>
  <c r="AC713" i="3"/>
  <c r="AA713" i="3"/>
  <c r="T713" i="3" l="1"/>
  <c r="AH713" i="3" s="1"/>
  <c r="U712" i="3"/>
  <c r="Y711" i="3"/>
  <c r="D713" i="3" l="1"/>
  <c r="AG713" i="3"/>
  <c r="E713" i="3"/>
  <c r="H713" i="3" s="1"/>
  <c r="F713" i="3" l="1"/>
  <c r="G713" i="3"/>
  <c r="M713" i="3" s="1"/>
  <c r="N713" i="3" s="1"/>
  <c r="K713" i="3"/>
  <c r="AE713" i="3" s="1"/>
  <c r="I713" i="3" l="1"/>
  <c r="J713" i="3"/>
  <c r="V713" i="3"/>
  <c r="A714" i="3"/>
  <c r="B714" i="3" s="1"/>
  <c r="L713" i="3" l="1"/>
  <c r="Y712" i="3" s="1"/>
  <c r="AD713" i="3"/>
  <c r="W713" i="3"/>
  <c r="AA714" i="3"/>
  <c r="P714" i="3"/>
  <c r="Q714" i="3" s="1"/>
  <c r="R714" i="3" s="1"/>
  <c r="S714" i="3" s="1"/>
  <c r="Z714" i="3"/>
  <c r="AC714" i="3"/>
  <c r="U713" i="3" l="1"/>
  <c r="T714" i="3"/>
  <c r="AH714" i="3" s="1"/>
  <c r="D714" i="3" l="1"/>
  <c r="G714" i="3" s="1"/>
  <c r="E714" i="3"/>
  <c r="H714" i="3" s="1"/>
  <c r="K714" i="3" s="1"/>
  <c r="AE714" i="3" s="1"/>
  <c r="AG714" i="3"/>
  <c r="F714" i="3" l="1"/>
  <c r="V714" i="3"/>
  <c r="A715" i="3"/>
  <c r="B715" i="3" s="1"/>
  <c r="I714" i="3"/>
  <c r="J714" i="3"/>
  <c r="AD714" i="3" s="1"/>
  <c r="M714" i="3"/>
  <c r="N714" i="3" s="1"/>
  <c r="L714" i="3" l="1"/>
  <c r="W714" i="3"/>
  <c r="AC715" i="3"/>
  <c r="P715" i="3"/>
  <c r="Q715" i="3" s="1"/>
  <c r="R715" i="3" s="1"/>
  <c r="S715" i="3" s="1"/>
  <c r="Z715" i="3"/>
  <c r="AA715" i="3"/>
  <c r="U714" i="3" l="1"/>
  <c r="Y713" i="3"/>
  <c r="T715" i="3"/>
  <c r="AG715" i="3" s="1"/>
  <c r="AH715" i="3" l="1"/>
  <c r="D715" i="3"/>
  <c r="G715" i="3" s="1"/>
  <c r="E715" i="3"/>
  <c r="H715" i="3" s="1"/>
  <c r="F715" i="3" l="1"/>
  <c r="I715" i="3"/>
  <c r="J715" i="3"/>
  <c r="AD715" i="3" s="1"/>
  <c r="M715" i="3"/>
  <c r="N715" i="3" s="1"/>
  <c r="K715" i="3"/>
  <c r="AE715" i="3" s="1"/>
  <c r="V715" i="3" l="1"/>
  <c r="W715" i="3" s="1"/>
  <c r="A716" i="3"/>
  <c r="B716" i="3" s="1"/>
  <c r="L715" i="3"/>
  <c r="U715" i="3" l="1"/>
  <c r="Y714" i="3"/>
  <c r="AC716" i="3"/>
  <c r="Z716" i="3"/>
  <c r="P716" i="3"/>
  <c r="Q716" i="3" s="1"/>
  <c r="R716" i="3" s="1"/>
  <c r="S716" i="3" s="1"/>
  <c r="AA716" i="3"/>
  <c r="T716" i="3" l="1"/>
  <c r="D716" i="3" s="1"/>
  <c r="E716" i="3" l="1"/>
  <c r="H716" i="3" s="1"/>
  <c r="K716" i="3" s="1"/>
  <c r="AE716" i="3" s="1"/>
  <c r="AH716" i="3"/>
  <c r="AG716" i="3"/>
  <c r="G716" i="3"/>
  <c r="F716" i="3" l="1"/>
  <c r="I716" i="3"/>
  <c r="J716" i="3"/>
  <c r="AD716" i="3" s="1"/>
  <c r="M716" i="3"/>
  <c r="N716" i="3" s="1"/>
  <c r="V716" i="3"/>
  <c r="A717" i="3"/>
  <c r="B717" i="3" s="1"/>
  <c r="W716" i="3" l="1"/>
  <c r="L716" i="3"/>
  <c r="AC717" i="3"/>
  <c r="P717" i="3"/>
  <c r="Q717" i="3" s="1"/>
  <c r="R717" i="3" s="1"/>
  <c r="S717" i="3" s="1"/>
  <c r="Z717" i="3"/>
  <c r="AA717" i="3"/>
  <c r="U716" i="3" l="1"/>
  <c r="Y715" i="3"/>
  <c r="T717" i="3"/>
  <c r="AG717" i="3" s="1"/>
  <c r="E717" i="3" l="1"/>
  <c r="H717" i="3" s="1"/>
  <c r="K717" i="3" s="1"/>
  <c r="AE717" i="3" s="1"/>
  <c r="AH717" i="3"/>
  <c r="D717" i="3"/>
  <c r="V717" i="3" l="1"/>
  <c r="A718" i="3"/>
  <c r="B718" i="3" s="1"/>
  <c r="F717" i="3"/>
  <c r="G717" i="3"/>
  <c r="I717" i="3" l="1"/>
  <c r="W717" i="3" s="1"/>
  <c r="J717" i="3"/>
  <c r="AD717" i="3" s="1"/>
  <c r="M717" i="3"/>
  <c r="N717" i="3" s="1"/>
  <c r="P718" i="3"/>
  <c r="Q718" i="3" s="1"/>
  <c r="R718" i="3" s="1"/>
  <c r="S718" i="3" s="1"/>
  <c r="AC718" i="3"/>
  <c r="Z718" i="3"/>
  <c r="AA718" i="3"/>
  <c r="L717" i="3" l="1"/>
  <c r="T718" i="3"/>
  <c r="U717" i="3" l="1"/>
  <c r="E718" i="3" s="1"/>
  <c r="H718" i="3" s="1"/>
  <c r="AH718" i="3"/>
  <c r="AG718" i="3"/>
  <c r="Y716" i="3"/>
  <c r="K718" i="3" l="1"/>
  <c r="AE718" i="3" s="1"/>
  <c r="D718" i="3"/>
  <c r="V718" i="3" l="1"/>
  <c r="A719" i="3"/>
  <c r="B719" i="3" s="1"/>
  <c r="F718" i="3"/>
  <c r="G718" i="3"/>
  <c r="I718" i="3" l="1"/>
  <c r="W718" i="3" s="1"/>
  <c r="J718" i="3"/>
  <c r="AD718" i="3" s="1"/>
  <c r="M718" i="3"/>
  <c r="N718" i="3" s="1"/>
  <c r="Z719" i="3"/>
  <c r="P719" i="3"/>
  <c r="Q719" i="3" s="1"/>
  <c r="R719" i="3" s="1"/>
  <c r="S719" i="3" s="1"/>
  <c r="AA719" i="3"/>
  <c r="AC719" i="3"/>
  <c r="T719" i="3" l="1"/>
  <c r="L718" i="3"/>
  <c r="AG719" i="3" l="1"/>
  <c r="AH719" i="3"/>
  <c r="U718" i="3"/>
  <c r="E719" i="3" s="1"/>
  <c r="H719" i="3" s="1"/>
  <c r="Y717" i="3"/>
  <c r="D719" i="3" l="1"/>
  <c r="G719" i="3" s="1"/>
  <c r="K719" i="3"/>
  <c r="AE719" i="3" s="1"/>
  <c r="F719" i="3" l="1"/>
  <c r="I719" i="3"/>
  <c r="J719" i="3"/>
  <c r="AD719" i="3" s="1"/>
  <c r="M719" i="3"/>
  <c r="N719" i="3" s="1"/>
  <c r="V719" i="3"/>
  <c r="A720" i="3"/>
  <c r="B720" i="3" s="1"/>
  <c r="W719" i="3" l="1"/>
  <c r="L719" i="3"/>
  <c r="P720" i="3"/>
  <c r="Q720" i="3" s="1"/>
  <c r="R720" i="3" s="1"/>
  <c r="S720" i="3" s="1"/>
  <c r="AA720" i="3"/>
  <c r="AC720" i="3"/>
  <c r="Z720" i="3"/>
  <c r="U719" i="3" l="1"/>
  <c r="Y718" i="3"/>
  <c r="T720" i="3"/>
  <c r="AG720" i="3" s="1"/>
  <c r="E720" i="3" l="1"/>
  <c r="H720" i="3" s="1"/>
  <c r="K720" i="3" s="1"/>
  <c r="AE720" i="3" s="1"/>
  <c r="D720" i="3"/>
  <c r="AH720" i="3"/>
  <c r="V720" i="3" l="1"/>
  <c r="A721" i="3"/>
  <c r="B721" i="3" s="1"/>
  <c r="F720" i="3"/>
  <c r="G720" i="3"/>
  <c r="I720" i="3" l="1"/>
  <c r="W720" i="3" s="1"/>
  <c r="J720" i="3"/>
  <c r="AD720" i="3" s="1"/>
  <c r="M720" i="3"/>
  <c r="N720" i="3" s="1"/>
  <c r="AA721" i="3"/>
  <c r="Z721" i="3"/>
  <c r="AC721" i="3"/>
  <c r="P721" i="3"/>
  <c r="Q721" i="3" s="1"/>
  <c r="R721" i="3" s="1"/>
  <c r="S721" i="3" s="1"/>
  <c r="T721" i="3" l="1"/>
  <c r="L720" i="3"/>
  <c r="AG721" i="3" l="1"/>
  <c r="U720" i="3"/>
  <c r="D721" i="3" s="1"/>
  <c r="AH721" i="3"/>
  <c r="Y719" i="3"/>
  <c r="G721" i="3" l="1"/>
  <c r="E721" i="3"/>
  <c r="H721" i="3" s="1"/>
  <c r="F721" i="3" l="1"/>
  <c r="I721" i="3"/>
  <c r="J721" i="3"/>
  <c r="AD721" i="3" s="1"/>
  <c r="M721" i="3"/>
  <c r="N721" i="3" s="1"/>
  <c r="K721" i="3"/>
  <c r="AE721" i="3" s="1"/>
  <c r="V721" i="3" l="1"/>
  <c r="W721" i="3" s="1"/>
  <c r="A722" i="3"/>
  <c r="B722" i="3" s="1"/>
  <c r="L721" i="3"/>
  <c r="U721" i="3" l="1"/>
  <c r="Y720" i="3"/>
  <c r="AA722" i="3"/>
  <c r="AC722" i="3"/>
  <c r="P722" i="3"/>
  <c r="Q722" i="3" s="1"/>
  <c r="R722" i="3" s="1"/>
  <c r="S722" i="3" s="1"/>
  <c r="Z722" i="3"/>
  <c r="T722" i="3" l="1"/>
  <c r="AH722" i="3" s="1"/>
  <c r="E722" i="3" l="1"/>
  <c r="H722" i="3" s="1"/>
  <c r="K722" i="3" s="1"/>
  <c r="AE722" i="3" s="1"/>
  <c r="D722" i="3"/>
  <c r="AG722" i="3"/>
  <c r="V722" i="3" l="1"/>
  <c r="A723" i="3"/>
  <c r="B723" i="3" s="1"/>
  <c r="F722" i="3"/>
  <c r="G722" i="3"/>
  <c r="I722" i="3" l="1"/>
  <c r="W722" i="3" s="1"/>
  <c r="J722" i="3"/>
  <c r="AD722" i="3" s="1"/>
  <c r="M722" i="3"/>
  <c r="N722" i="3" s="1"/>
  <c r="Z723" i="3"/>
  <c r="AA723" i="3"/>
  <c r="AC723" i="3"/>
  <c r="P723" i="3"/>
  <c r="Q723" i="3" s="1"/>
  <c r="R723" i="3" s="1"/>
  <c r="S723" i="3" s="1"/>
  <c r="AD723" i="3"/>
  <c r="T723" i="3" l="1"/>
  <c r="L722" i="3"/>
  <c r="U722" i="3" l="1"/>
  <c r="E723" i="3" s="1"/>
  <c r="H723" i="3" s="1"/>
  <c r="AG723" i="3"/>
  <c r="AH723" i="3"/>
  <c r="Y721" i="3"/>
  <c r="D723" i="3" l="1"/>
  <c r="G723" i="3" s="1"/>
  <c r="K723" i="3"/>
  <c r="AE723" i="3" s="1"/>
  <c r="F723" i="3" l="1"/>
  <c r="V723" i="3"/>
  <c r="A724" i="3"/>
  <c r="B724" i="3" s="1"/>
  <c r="I723" i="3"/>
  <c r="J723" i="3"/>
  <c r="M723" i="3"/>
  <c r="N723" i="3" s="1"/>
  <c r="W723" i="3" l="1"/>
  <c r="L723" i="3"/>
  <c r="AA724" i="3"/>
  <c r="Z724" i="3"/>
  <c r="AC724" i="3"/>
  <c r="P724" i="3"/>
  <c r="Q724" i="3" s="1"/>
  <c r="R724" i="3" s="1"/>
  <c r="S724" i="3" s="1"/>
  <c r="T724" i="3" l="1"/>
  <c r="AH724" i="3" s="1"/>
  <c r="U723" i="3"/>
  <c r="Y722" i="3"/>
  <c r="D724" i="3" l="1"/>
  <c r="E724" i="3"/>
  <c r="H724" i="3" s="1"/>
  <c r="AG724" i="3"/>
  <c r="K724" i="3" l="1"/>
  <c r="AE724" i="3" s="1"/>
  <c r="F724" i="3"/>
  <c r="G724" i="3"/>
  <c r="I724" i="3" l="1"/>
  <c r="J724" i="3"/>
  <c r="AD724" i="3" s="1"/>
  <c r="M724" i="3"/>
  <c r="N724" i="3" s="1"/>
  <c r="V724" i="3"/>
  <c r="A725" i="3"/>
  <c r="B725" i="3" s="1"/>
  <c r="W724" i="3" l="1"/>
  <c r="L724" i="3"/>
  <c r="AC725" i="3"/>
  <c r="P725" i="3"/>
  <c r="Q725" i="3" s="1"/>
  <c r="R725" i="3" s="1"/>
  <c r="S725" i="3" s="1"/>
  <c r="Z725" i="3"/>
  <c r="AA725" i="3"/>
  <c r="AD725" i="3"/>
  <c r="U724" i="3" l="1"/>
  <c r="Y723" i="3"/>
  <c r="T725" i="3"/>
  <c r="AG725" i="3" s="1"/>
  <c r="AH725" i="3" l="1"/>
  <c r="D725" i="3"/>
  <c r="G725" i="3" s="1"/>
  <c r="E725" i="3"/>
  <c r="H725" i="3" s="1"/>
  <c r="F725" i="3" l="1"/>
  <c r="I725" i="3"/>
  <c r="J725" i="3"/>
  <c r="M725" i="3"/>
  <c r="N725" i="3" s="1"/>
  <c r="K725" i="3"/>
  <c r="AE725" i="3" s="1"/>
  <c r="V725" i="3" l="1"/>
  <c r="W725" i="3" s="1"/>
  <c r="A726" i="3"/>
  <c r="B726" i="3" s="1"/>
  <c r="L725" i="3"/>
  <c r="U725" i="3" l="1"/>
  <c r="Y724" i="3"/>
  <c r="Z726" i="3"/>
  <c r="P726" i="3"/>
  <c r="Q726" i="3" s="1"/>
  <c r="R726" i="3" s="1"/>
  <c r="S726" i="3" s="1"/>
  <c r="AA726" i="3"/>
  <c r="AD726" i="3"/>
  <c r="AC726" i="3"/>
  <c r="T726" i="3" l="1"/>
  <c r="AG726" i="3" s="1"/>
  <c r="D726" i="3" l="1"/>
  <c r="G726" i="3" s="1"/>
  <c r="E726" i="3"/>
  <c r="H726" i="3" s="1"/>
  <c r="K726" i="3" s="1"/>
  <c r="AE726" i="3" s="1"/>
  <c r="AH726" i="3"/>
  <c r="F726" i="3" l="1"/>
  <c r="I726" i="3"/>
  <c r="J726" i="3"/>
  <c r="M726" i="3"/>
  <c r="N726" i="3" s="1"/>
  <c r="V726" i="3"/>
  <c r="A727" i="3"/>
  <c r="B727" i="3" s="1"/>
  <c r="W726" i="3" l="1"/>
  <c r="L726" i="3"/>
  <c r="P727" i="3"/>
  <c r="Q727" i="3" s="1"/>
  <c r="R727" i="3" s="1"/>
  <c r="S727" i="3" s="1"/>
  <c r="Z727" i="3"/>
  <c r="AA727" i="3"/>
  <c r="AC727" i="3"/>
  <c r="AD727" i="3"/>
  <c r="U726" i="3" l="1"/>
  <c r="Y725" i="3"/>
  <c r="T727" i="3"/>
  <c r="AH727" i="3" s="1"/>
  <c r="E727" i="3" l="1"/>
  <c r="H727" i="3" s="1"/>
  <c r="K727" i="3" s="1"/>
  <c r="AE727" i="3" s="1"/>
  <c r="D727" i="3"/>
  <c r="AG727" i="3"/>
  <c r="F727" i="3" l="1"/>
  <c r="G727" i="3"/>
  <c r="M727" i="3" s="1"/>
  <c r="N727" i="3" s="1"/>
  <c r="V727" i="3"/>
  <c r="A728" i="3"/>
  <c r="B728" i="3" s="1"/>
  <c r="I727" i="3" l="1"/>
  <c r="W727" i="3" s="1"/>
  <c r="J727" i="3"/>
  <c r="L727" i="3" s="1"/>
  <c r="AA728" i="3"/>
  <c r="P728" i="3"/>
  <c r="Q728" i="3" s="1"/>
  <c r="R728" i="3" s="1"/>
  <c r="S728" i="3" s="1"/>
  <c r="AC728" i="3"/>
  <c r="Z728" i="3"/>
  <c r="AD728" i="3"/>
  <c r="U727" i="3" l="1"/>
  <c r="Y726" i="3"/>
  <c r="T728" i="3"/>
  <c r="D728" i="3" l="1"/>
  <c r="G728" i="3" s="1"/>
  <c r="AG728" i="3"/>
  <c r="E728" i="3"/>
  <c r="H728" i="3" s="1"/>
  <c r="AH728" i="3"/>
  <c r="F728" i="3" l="1"/>
  <c r="I728" i="3"/>
  <c r="J728" i="3"/>
  <c r="M728" i="3"/>
  <c r="N728" i="3" s="1"/>
  <c r="K728" i="3"/>
  <c r="AE728" i="3" s="1"/>
  <c r="V728" i="3" l="1"/>
  <c r="W728" i="3" s="1"/>
  <c r="A729" i="3"/>
  <c r="B729" i="3" s="1"/>
  <c r="L728" i="3"/>
  <c r="U728" i="3" l="1"/>
  <c r="Y727" i="3"/>
  <c r="P729" i="3"/>
  <c r="Q729" i="3" s="1"/>
  <c r="R729" i="3" s="1"/>
  <c r="S729" i="3" s="1"/>
  <c r="AA729" i="3"/>
  <c r="AD729" i="3"/>
  <c r="AC729" i="3"/>
  <c r="Z729" i="3"/>
  <c r="T729" i="3" l="1"/>
  <c r="E729" i="3" s="1"/>
  <c r="H729" i="3" s="1"/>
  <c r="AH729" i="3" l="1"/>
  <c r="D729" i="3"/>
  <c r="F729" i="3" s="1"/>
  <c r="AG729" i="3"/>
  <c r="K729" i="3"/>
  <c r="AE729" i="3" s="1"/>
  <c r="G729" i="3" l="1"/>
  <c r="I729" i="3" s="1"/>
  <c r="V729" i="3"/>
  <c r="A730" i="3"/>
  <c r="B730" i="3" s="1"/>
  <c r="W729" i="3" l="1"/>
  <c r="J729" i="3"/>
  <c r="L729" i="3" s="1"/>
  <c r="M729" i="3"/>
  <c r="N729" i="3" s="1"/>
  <c r="AA730" i="3"/>
  <c r="Z730" i="3"/>
  <c r="AD730" i="3"/>
  <c r="P730" i="3"/>
  <c r="Q730" i="3" s="1"/>
  <c r="R730" i="3" s="1"/>
  <c r="S730" i="3" s="1"/>
  <c r="AC730" i="3"/>
  <c r="U729" i="3" l="1"/>
  <c r="Y728" i="3"/>
  <c r="T730" i="3"/>
  <c r="AG730" i="3" s="1"/>
  <c r="D730" i="3" l="1"/>
  <c r="E730" i="3"/>
  <c r="H730" i="3" s="1"/>
  <c r="AH730" i="3"/>
  <c r="K730" i="3" l="1"/>
  <c r="AE730" i="3" s="1"/>
  <c r="F730" i="3"/>
  <c r="G730" i="3"/>
  <c r="I730" i="3" l="1"/>
  <c r="J730" i="3"/>
  <c r="M730" i="3"/>
  <c r="N730" i="3" s="1"/>
  <c r="V730" i="3"/>
  <c r="A731" i="3"/>
  <c r="B731" i="3" s="1"/>
  <c r="W730" i="3" l="1"/>
  <c r="L730" i="3"/>
  <c r="P731" i="3"/>
  <c r="Q731" i="3" s="1"/>
  <c r="R731" i="3" s="1"/>
  <c r="S731" i="3" s="1"/>
  <c r="Z731" i="3"/>
  <c r="AA731" i="3"/>
  <c r="AD731" i="3"/>
  <c r="AC731" i="3"/>
  <c r="U730" i="3" l="1"/>
  <c r="Y729" i="3"/>
  <c r="T731" i="3"/>
  <c r="AG731" i="3" s="1"/>
  <c r="E731" i="3" l="1"/>
  <c r="H731" i="3" s="1"/>
  <c r="K731" i="3" s="1"/>
  <c r="AE731" i="3" s="1"/>
  <c r="AH731" i="3"/>
  <c r="D731" i="3"/>
  <c r="F731" i="3" l="1"/>
  <c r="G731" i="3"/>
  <c r="J731" i="3" s="1"/>
  <c r="V731" i="3"/>
  <c r="A732" i="3"/>
  <c r="B732" i="3" s="1"/>
  <c r="M731" i="3" l="1"/>
  <c r="N731" i="3" s="1"/>
  <c r="I731" i="3"/>
  <c r="W731" i="3" s="1"/>
  <c r="L731" i="3"/>
  <c r="AC732" i="3"/>
  <c r="Z732" i="3"/>
  <c r="AD732" i="3"/>
  <c r="AA732" i="3"/>
  <c r="P732" i="3"/>
  <c r="Q732" i="3" s="1"/>
  <c r="R732" i="3" s="1"/>
  <c r="S732" i="3" s="1"/>
  <c r="U731" i="3" l="1"/>
  <c r="Y730" i="3"/>
  <c r="T732" i="3"/>
  <c r="E732" i="3" l="1"/>
  <c r="H732" i="3" s="1"/>
  <c r="K732" i="3" s="1"/>
  <c r="AE732" i="3" s="1"/>
  <c r="D732" i="3"/>
  <c r="G732" i="3" s="1"/>
  <c r="AH732" i="3"/>
  <c r="AG732" i="3"/>
  <c r="F732" i="3" l="1"/>
  <c r="I732" i="3"/>
  <c r="J732" i="3"/>
  <c r="M732" i="3"/>
  <c r="N732" i="3" s="1"/>
  <c r="V732" i="3"/>
  <c r="A733" i="3"/>
  <c r="B733" i="3" s="1"/>
  <c r="W732" i="3" l="1"/>
  <c r="L732" i="3"/>
  <c r="AC733" i="3"/>
  <c r="P733" i="3"/>
  <c r="Q733" i="3" s="1"/>
  <c r="R733" i="3" s="1"/>
  <c r="S733" i="3" s="1"/>
  <c r="AA733" i="3"/>
  <c r="Z733" i="3"/>
  <c r="AD733" i="3"/>
  <c r="T733" i="3" l="1"/>
  <c r="AH733" i="3" s="1"/>
  <c r="U732" i="3"/>
  <c r="Y731" i="3"/>
  <c r="D733" i="3" l="1"/>
  <c r="G733" i="3" s="1"/>
  <c r="E733" i="3"/>
  <c r="H733" i="3" s="1"/>
  <c r="AG733" i="3"/>
  <c r="F733" i="3" l="1"/>
  <c r="I733" i="3"/>
  <c r="J733" i="3"/>
  <c r="M733" i="3"/>
  <c r="N733" i="3" s="1"/>
  <c r="K733" i="3"/>
  <c r="AE733" i="3" s="1"/>
  <c r="V733" i="3" l="1"/>
  <c r="W733" i="3" s="1"/>
  <c r="A734" i="3"/>
  <c r="B734" i="3" s="1"/>
  <c r="L733" i="3"/>
  <c r="U733" i="3" l="1"/>
  <c r="Y732" i="3"/>
  <c r="P734" i="3"/>
  <c r="Q734" i="3" s="1"/>
  <c r="R734" i="3" s="1"/>
  <c r="S734" i="3" s="1"/>
  <c r="AC734" i="3"/>
  <c r="AA734" i="3"/>
  <c r="Z734" i="3"/>
  <c r="T734" i="3" l="1"/>
  <c r="AG734" i="3" s="1"/>
  <c r="D734" i="3" l="1"/>
  <c r="E734" i="3"/>
  <c r="H734" i="3" s="1"/>
  <c r="K734" i="3" s="1"/>
  <c r="AE734" i="3" s="1"/>
  <c r="AH734" i="3"/>
  <c r="F734" i="3" l="1"/>
  <c r="G734" i="3"/>
  <c r="M734" i="3" s="1"/>
  <c r="N734" i="3" s="1"/>
  <c r="V734" i="3"/>
  <c r="A735" i="3"/>
  <c r="B735" i="3" s="1"/>
  <c r="I734" i="3" l="1"/>
  <c r="W734" i="3" s="1"/>
  <c r="J734" i="3"/>
  <c r="AA735" i="3"/>
  <c r="Z735" i="3"/>
  <c r="P735" i="3"/>
  <c r="Q735" i="3" s="1"/>
  <c r="R735" i="3" s="1"/>
  <c r="S735" i="3" s="1"/>
  <c r="AC735" i="3"/>
  <c r="AD735" i="3"/>
  <c r="L734" i="3" l="1"/>
  <c r="Y733" i="3" s="1"/>
  <c r="AD734" i="3"/>
  <c r="T735" i="3"/>
  <c r="U734" i="3" l="1"/>
  <c r="E735" i="3" s="1"/>
  <c r="H735" i="3" s="1"/>
  <c r="AH735" i="3"/>
  <c r="AG735" i="3"/>
  <c r="D735" i="3" l="1"/>
  <c r="G735" i="3" s="1"/>
  <c r="M735" i="3" s="1"/>
  <c r="N735" i="3" s="1"/>
  <c r="K735" i="3"/>
  <c r="AE735" i="3" s="1"/>
  <c r="F735" i="3" l="1"/>
  <c r="I735" i="3"/>
  <c r="J735" i="3"/>
  <c r="L735" i="3" s="1"/>
  <c r="V735" i="3"/>
  <c r="A736" i="3"/>
  <c r="B736" i="3" s="1"/>
  <c r="W735" i="3" l="1"/>
  <c r="U735" i="3"/>
  <c r="Y734" i="3"/>
  <c r="Z736" i="3"/>
  <c r="P736" i="3"/>
  <c r="Q736" i="3" s="1"/>
  <c r="R736" i="3" s="1"/>
  <c r="S736" i="3" s="1"/>
  <c r="AA736" i="3"/>
  <c r="AD736" i="3"/>
  <c r="AC736" i="3"/>
  <c r="T736" i="3" l="1"/>
  <c r="E736" i="3" s="1"/>
  <c r="H736" i="3" s="1"/>
  <c r="AH736" i="3" l="1"/>
  <c r="D736" i="3"/>
  <c r="F736" i="3" s="1"/>
  <c r="K736" i="3"/>
  <c r="AE736" i="3" s="1"/>
  <c r="AG736" i="3"/>
  <c r="G736" i="3" l="1"/>
  <c r="M736" i="3" s="1"/>
  <c r="N736" i="3" s="1"/>
  <c r="V736" i="3"/>
  <c r="A737" i="3"/>
  <c r="B737" i="3" s="1"/>
  <c r="I736" i="3" l="1"/>
  <c r="W736" i="3" s="1"/>
  <c r="J736" i="3"/>
  <c r="L736" i="3" s="1"/>
  <c r="AC737" i="3"/>
  <c r="P737" i="3"/>
  <c r="Q737" i="3" s="1"/>
  <c r="R737" i="3" s="1"/>
  <c r="S737" i="3" s="1"/>
  <c r="AD737" i="3"/>
  <c r="Z737" i="3"/>
  <c r="AA737" i="3"/>
  <c r="U736" i="3" l="1"/>
  <c r="Y735" i="3"/>
  <c r="T737" i="3"/>
  <c r="AH737" i="3" s="1"/>
  <c r="D737" i="3" l="1"/>
  <c r="E737" i="3"/>
  <c r="H737" i="3" s="1"/>
  <c r="AG737" i="3"/>
  <c r="F737" i="3" l="1"/>
  <c r="G737" i="3"/>
  <c r="K737" i="3"/>
  <c r="AE737" i="3" s="1"/>
  <c r="V737" i="3" l="1"/>
  <c r="A738" i="3"/>
  <c r="B738" i="3" s="1"/>
  <c r="I737" i="3"/>
  <c r="J737" i="3"/>
  <c r="M737" i="3"/>
  <c r="N737" i="3" s="1"/>
  <c r="W737" i="3" l="1"/>
  <c r="L737" i="3"/>
  <c r="AA738" i="3"/>
  <c r="P738" i="3"/>
  <c r="Q738" i="3" s="1"/>
  <c r="R738" i="3" s="1"/>
  <c r="S738" i="3" s="1"/>
  <c r="AC738" i="3"/>
  <c r="Z738" i="3"/>
  <c r="AD738" i="3"/>
  <c r="U737" i="3" l="1"/>
  <c r="Y736" i="3"/>
  <c r="T738" i="3"/>
  <c r="E738" i="3" l="1"/>
  <c r="H738" i="3" s="1"/>
  <c r="K738" i="3" s="1"/>
  <c r="AE738" i="3" s="1"/>
  <c r="D738" i="3"/>
  <c r="AG738" i="3"/>
  <c r="AH738" i="3"/>
  <c r="V738" i="3" l="1"/>
  <c r="A739" i="3"/>
  <c r="B739" i="3" s="1"/>
  <c r="F738" i="3"/>
  <c r="G738" i="3"/>
  <c r="I738" i="3" l="1"/>
  <c r="W738" i="3" s="1"/>
  <c r="J738" i="3"/>
  <c r="M738" i="3"/>
  <c r="N738" i="3" s="1"/>
  <c r="P739" i="3"/>
  <c r="Q739" i="3" s="1"/>
  <c r="R739" i="3" s="1"/>
  <c r="S739" i="3" s="1"/>
  <c r="AC739" i="3"/>
  <c r="AA739" i="3"/>
  <c r="AD739" i="3"/>
  <c r="Z739" i="3"/>
  <c r="T739" i="3" l="1"/>
  <c r="L738" i="3"/>
  <c r="AH739" i="3" l="1"/>
  <c r="U738" i="3"/>
  <c r="E739" i="3" s="1"/>
  <c r="H739" i="3" s="1"/>
  <c r="AG739" i="3"/>
  <c r="Y737" i="3"/>
  <c r="D739" i="3" l="1"/>
  <c r="G739" i="3" s="1"/>
  <c r="K739" i="3"/>
  <c r="AE739" i="3" s="1"/>
  <c r="F739" i="3" l="1"/>
  <c r="I739" i="3"/>
  <c r="J739" i="3"/>
  <c r="M739" i="3"/>
  <c r="N739" i="3" s="1"/>
  <c r="V739" i="3"/>
  <c r="A740" i="3"/>
  <c r="B740" i="3" s="1"/>
  <c r="W739" i="3" l="1"/>
  <c r="L739" i="3"/>
  <c r="P740" i="3"/>
  <c r="Q740" i="3" s="1"/>
  <c r="R740" i="3" s="1"/>
  <c r="S740" i="3" s="1"/>
  <c r="Z740" i="3"/>
  <c r="AC740" i="3"/>
  <c r="AD740" i="3"/>
  <c r="AA740" i="3"/>
  <c r="U739" i="3" l="1"/>
  <c r="Y738" i="3"/>
  <c r="T740" i="3"/>
  <c r="E740" i="3" l="1"/>
  <c r="H740" i="3" s="1"/>
  <c r="K740" i="3" s="1"/>
  <c r="AE740" i="3" s="1"/>
  <c r="D740" i="3"/>
  <c r="G740" i="3" s="1"/>
  <c r="AH740" i="3"/>
  <c r="AG740" i="3"/>
  <c r="F740" i="3" l="1"/>
  <c r="I740" i="3"/>
  <c r="J740" i="3"/>
  <c r="M740" i="3"/>
  <c r="N740" i="3" s="1"/>
  <c r="V740" i="3"/>
  <c r="A741" i="3"/>
  <c r="B741" i="3" s="1"/>
  <c r="W740" i="3" l="1"/>
  <c r="L740" i="3"/>
  <c r="AA741" i="3"/>
  <c r="P741" i="3"/>
  <c r="Q741" i="3" s="1"/>
  <c r="R741" i="3" s="1"/>
  <c r="S741" i="3" s="1"/>
  <c r="AD741" i="3"/>
  <c r="Z741" i="3"/>
  <c r="AC741" i="3"/>
  <c r="T741" i="3" l="1"/>
  <c r="AG741" i="3" s="1"/>
  <c r="U740" i="3"/>
  <c r="Y739" i="3"/>
  <c r="E741" i="3" l="1"/>
  <c r="H741" i="3" s="1"/>
  <c r="D741" i="3"/>
  <c r="AH741" i="3"/>
  <c r="K741" i="3" l="1"/>
  <c r="AE741" i="3" s="1"/>
  <c r="F741" i="3"/>
  <c r="G741" i="3"/>
  <c r="V741" i="3" l="1"/>
  <c r="A742" i="3"/>
  <c r="B742" i="3" s="1"/>
  <c r="I741" i="3"/>
  <c r="J741" i="3"/>
  <c r="M741" i="3"/>
  <c r="N741" i="3" s="1"/>
  <c r="L741" i="3" l="1"/>
  <c r="W741" i="3"/>
  <c r="AC742" i="3"/>
  <c r="P742" i="3"/>
  <c r="Q742" i="3" s="1"/>
  <c r="R742" i="3" s="1"/>
  <c r="S742" i="3" s="1"/>
  <c r="AD742" i="3"/>
  <c r="Z742" i="3"/>
  <c r="AA742" i="3"/>
  <c r="U741" i="3" l="1"/>
  <c r="Y740" i="3"/>
  <c r="T742" i="3"/>
  <c r="AG742" i="3" s="1"/>
  <c r="E742" i="3" l="1"/>
  <c r="H742" i="3" s="1"/>
  <c r="K742" i="3" s="1"/>
  <c r="AE742" i="3" s="1"/>
  <c r="AH742" i="3"/>
  <c r="D742" i="3"/>
  <c r="F742" i="3" l="1"/>
  <c r="G742" i="3"/>
  <c r="V742" i="3"/>
  <c r="A743" i="3"/>
  <c r="B743" i="3" s="1"/>
  <c r="I742" i="3" l="1"/>
  <c r="W742" i="3" s="1"/>
  <c r="J742" i="3"/>
  <c r="M742" i="3"/>
  <c r="N742" i="3" s="1"/>
  <c r="Z743" i="3"/>
  <c r="AA743" i="3"/>
  <c r="P743" i="3"/>
  <c r="Q743" i="3" s="1"/>
  <c r="R743" i="3" s="1"/>
  <c r="S743" i="3" s="1"/>
  <c r="AC743" i="3"/>
  <c r="AD743" i="3"/>
  <c r="T743" i="3" l="1"/>
  <c r="L742" i="3"/>
  <c r="U742" i="3" l="1"/>
  <c r="E743" i="3" s="1"/>
  <c r="H743" i="3" s="1"/>
  <c r="AH743" i="3"/>
  <c r="AG743" i="3"/>
  <c r="Y741" i="3"/>
  <c r="D743" i="3" l="1"/>
  <c r="G743" i="3" s="1"/>
  <c r="K743" i="3"/>
  <c r="AE743" i="3" s="1"/>
  <c r="F743" i="3" l="1"/>
  <c r="I743" i="3"/>
  <c r="J743" i="3"/>
  <c r="M743" i="3"/>
  <c r="N743" i="3" s="1"/>
  <c r="V743" i="3"/>
  <c r="A744" i="3"/>
  <c r="B744" i="3" s="1"/>
  <c r="W743" i="3" l="1"/>
  <c r="L743" i="3"/>
  <c r="AA744" i="3"/>
  <c r="P744" i="3"/>
  <c r="Q744" i="3" s="1"/>
  <c r="R744" i="3" s="1"/>
  <c r="S744" i="3" s="1"/>
  <c r="AC744" i="3"/>
  <c r="Z744" i="3"/>
  <c r="U743" i="3" l="1"/>
  <c r="Y742" i="3"/>
  <c r="T744" i="3"/>
  <c r="AG744" i="3" s="1"/>
  <c r="E744" i="3" l="1"/>
  <c r="H744" i="3" s="1"/>
  <c r="K744" i="3" s="1"/>
  <c r="AE744" i="3" s="1"/>
  <c r="D744" i="3"/>
  <c r="AH744" i="3"/>
  <c r="F744" i="3" l="1"/>
  <c r="G744" i="3"/>
  <c r="I744" i="3" s="1"/>
  <c r="V744" i="3"/>
  <c r="A745" i="3"/>
  <c r="B745" i="3" s="1"/>
  <c r="J744" i="3" l="1"/>
  <c r="M744" i="3"/>
  <c r="N744" i="3" s="1"/>
  <c r="W744" i="3"/>
  <c r="P745" i="3"/>
  <c r="Q745" i="3" s="1"/>
  <c r="R745" i="3" s="1"/>
  <c r="S745" i="3" s="1"/>
  <c r="AA745" i="3"/>
  <c r="AC745" i="3"/>
  <c r="AD745" i="3"/>
  <c r="Z745" i="3"/>
  <c r="L744" i="3" l="1"/>
  <c r="U744" i="3" s="1"/>
  <c r="AD744" i="3"/>
  <c r="T745" i="3"/>
  <c r="Y743" i="3" l="1"/>
  <c r="AG745" i="3"/>
  <c r="E745" i="3"/>
  <c r="H745" i="3" s="1"/>
  <c r="K745" i="3" s="1"/>
  <c r="AE745" i="3" s="1"/>
  <c r="D745" i="3"/>
  <c r="AH745" i="3"/>
  <c r="F745" i="3" l="1"/>
  <c r="G745" i="3"/>
  <c r="M745" i="3" s="1"/>
  <c r="N745" i="3" s="1"/>
  <c r="V745" i="3"/>
  <c r="A746" i="3"/>
  <c r="B746" i="3" s="1"/>
  <c r="I745" i="3" l="1"/>
  <c r="W745" i="3" s="1"/>
  <c r="J745" i="3"/>
  <c r="L745" i="3" s="1"/>
  <c r="Z746" i="3"/>
  <c r="AD746" i="3"/>
  <c r="P746" i="3"/>
  <c r="Q746" i="3" s="1"/>
  <c r="R746" i="3" s="1"/>
  <c r="S746" i="3" s="1"/>
  <c r="AA746" i="3"/>
  <c r="AC746" i="3"/>
  <c r="U745" i="3" l="1"/>
  <c r="Y744" i="3"/>
  <c r="T746" i="3"/>
  <c r="D746" i="3" l="1"/>
  <c r="G746" i="3" s="1"/>
  <c r="AG746" i="3"/>
  <c r="E746" i="3"/>
  <c r="H746" i="3" s="1"/>
  <c r="AH746" i="3"/>
  <c r="F746" i="3" l="1"/>
  <c r="I746" i="3"/>
  <c r="J746" i="3"/>
  <c r="M746" i="3"/>
  <c r="N746" i="3" s="1"/>
  <c r="K746" i="3"/>
  <c r="AE746" i="3" s="1"/>
  <c r="V746" i="3" l="1"/>
  <c r="W746" i="3" s="1"/>
  <c r="A747" i="3"/>
  <c r="B747" i="3" s="1"/>
  <c r="L746" i="3"/>
  <c r="U746" i="3" l="1"/>
  <c r="Y745" i="3"/>
  <c r="AA747" i="3"/>
  <c r="AD747" i="3"/>
  <c r="Z747" i="3"/>
  <c r="AC747" i="3"/>
  <c r="P747" i="3"/>
  <c r="Q747" i="3" s="1"/>
  <c r="R747" i="3" s="1"/>
  <c r="S747" i="3" s="1"/>
  <c r="T747" i="3" l="1"/>
  <c r="D747" i="3" s="1"/>
  <c r="AG747" i="3" l="1"/>
  <c r="E747" i="3"/>
  <c r="H747" i="3" s="1"/>
  <c r="K747" i="3" s="1"/>
  <c r="AE747" i="3" s="1"/>
  <c r="AH747" i="3"/>
  <c r="G747" i="3"/>
  <c r="F747" i="3" l="1"/>
  <c r="I747" i="3"/>
  <c r="J747" i="3"/>
  <c r="M747" i="3"/>
  <c r="N747" i="3" s="1"/>
  <c r="V747" i="3"/>
  <c r="A748" i="3"/>
  <c r="B748" i="3" s="1"/>
  <c r="W747" i="3" l="1"/>
  <c r="L747" i="3"/>
  <c r="AC748" i="3"/>
  <c r="P748" i="3"/>
  <c r="Q748" i="3" s="1"/>
  <c r="R748" i="3" s="1"/>
  <c r="S748" i="3" s="1"/>
  <c r="AD748" i="3"/>
  <c r="Z748" i="3"/>
  <c r="AA748" i="3"/>
  <c r="U747" i="3" l="1"/>
  <c r="Y746" i="3"/>
  <c r="T748" i="3"/>
  <c r="E748" i="3" l="1"/>
  <c r="H748" i="3" s="1"/>
  <c r="K748" i="3" s="1"/>
  <c r="AE748" i="3" s="1"/>
  <c r="D748" i="3"/>
  <c r="AH748" i="3"/>
  <c r="AG748" i="3"/>
  <c r="V748" i="3" l="1"/>
  <c r="A749" i="3"/>
  <c r="B749" i="3" s="1"/>
  <c r="F748" i="3"/>
  <c r="G748" i="3"/>
  <c r="I748" i="3" l="1"/>
  <c r="W748" i="3" s="1"/>
  <c r="J748" i="3"/>
  <c r="M748" i="3"/>
  <c r="N748" i="3" s="1"/>
  <c r="AA749" i="3"/>
  <c r="Z749" i="3"/>
  <c r="P749" i="3"/>
  <c r="Q749" i="3" s="1"/>
  <c r="R749" i="3" s="1"/>
  <c r="S749" i="3" s="1"/>
  <c r="AC749" i="3"/>
  <c r="AD749" i="3"/>
  <c r="T749" i="3" l="1"/>
  <c r="L748" i="3"/>
  <c r="U748" i="3" l="1"/>
  <c r="E749" i="3" s="1"/>
  <c r="H749" i="3" s="1"/>
  <c r="AG749" i="3"/>
  <c r="AH749" i="3"/>
  <c r="Y747" i="3"/>
  <c r="K749" i="3" l="1"/>
  <c r="AE749" i="3" s="1"/>
  <c r="D749" i="3"/>
  <c r="V749" i="3" l="1"/>
  <c r="A750" i="3"/>
  <c r="B750" i="3" s="1"/>
  <c r="F749" i="3"/>
  <c r="G749" i="3"/>
  <c r="I749" i="3" l="1"/>
  <c r="W749" i="3" s="1"/>
  <c r="J749" i="3"/>
  <c r="M749" i="3"/>
  <c r="N749" i="3" s="1"/>
  <c r="AA750" i="3"/>
  <c r="AC750" i="3"/>
  <c r="Z750" i="3"/>
  <c r="AD750" i="3"/>
  <c r="P750" i="3"/>
  <c r="Q750" i="3" s="1"/>
  <c r="R750" i="3" s="1"/>
  <c r="S750" i="3" s="1"/>
  <c r="T750" i="3" l="1"/>
  <c r="L749" i="3"/>
  <c r="AH750" i="3" l="1"/>
  <c r="AG750" i="3"/>
  <c r="U749" i="3"/>
  <c r="D750" i="3" s="1"/>
  <c r="Y748" i="3"/>
  <c r="G750" i="3" l="1"/>
  <c r="E750" i="3"/>
  <c r="H750" i="3" s="1"/>
  <c r="F750" i="3" l="1"/>
  <c r="I750" i="3"/>
  <c r="J750" i="3"/>
  <c r="M750" i="3"/>
  <c r="N750" i="3" s="1"/>
  <c r="K750" i="3"/>
  <c r="AE750" i="3" s="1"/>
  <c r="V750" i="3" l="1"/>
  <c r="W750" i="3" s="1"/>
  <c r="A751" i="3"/>
  <c r="B751" i="3" s="1"/>
  <c r="L750" i="3"/>
  <c r="U750" i="3" l="1"/>
  <c r="Y749" i="3"/>
  <c r="P751" i="3"/>
  <c r="Q751" i="3" s="1"/>
  <c r="R751" i="3" s="1"/>
  <c r="S751" i="3" s="1"/>
  <c r="Z751" i="3"/>
  <c r="AA751" i="3"/>
  <c r="AC751" i="3"/>
  <c r="AD751" i="3"/>
  <c r="T751" i="3" l="1"/>
  <c r="AH751" i="3" s="1"/>
  <c r="E751" i="3" l="1"/>
  <c r="H751" i="3" s="1"/>
  <c r="K751" i="3" s="1"/>
  <c r="AE751" i="3" s="1"/>
  <c r="AG751" i="3"/>
  <c r="D751" i="3"/>
  <c r="F751" i="3" l="1"/>
  <c r="G751" i="3"/>
  <c r="V751" i="3"/>
  <c r="A752" i="3"/>
  <c r="B752" i="3" s="1"/>
  <c r="AA752" i="3" l="1"/>
  <c r="AD752" i="3"/>
  <c r="Z752" i="3"/>
  <c r="AC752" i="3"/>
  <c r="P752" i="3"/>
  <c r="Q752" i="3" s="1"/>
  <c r="R752" i="3" s="1"/>
  <c r="S752" i="3" s="1"/>
  <c r="I751" i="3"/>
  <c r="W751" i="3" s="1"/>
  <c r="J751" i="3"/>
  <c r="M751" i="3"/>
  <c r="N751" i="3" s="1"/>
  <c r="L751" i="3" l="1"/>
  <c r="T752" i="3"/>
  <c r="U751" i="3" l="1"/>
  <c r="E752" i="3" s="1"/>
  <c r="H752" i="3" s="1"/>
  <c r="AG752" i="3"/>
  <c r="AH752" i="3"/>
  <c r="Y750" i="3"/>
  <c r="K752" i="3" l="1"/>
  <c r="AE752" i="3" s="1"/>
  <c r="D752" i="3"/>
  <c r="V752" i="3" l="1"/>
  <c r="A753" i="3"/>
  <c r="B753" i="3" s="1"/>
  <c r="F752" i="3"/>
  <c r="G752" i="3"/>
  <c r="I752" i="3" l="1"/>
  <c r="W752" i="3" s="1"/>
  <c r="J752" i="3"/>
  <c r="M752" i="3"/>
  <c r="N752" i="3" s="1"/>
  <c r="AD753" i="3"/>
  <c r="AA753" i="3"/>
  <c r="Z753" i="3"/>
  <c r="P753" i="3"/>
  <c r="Q753" i="3" s="1"/>
  <c r="R753" i="3" s="1"/>
  <c r="S753" i="3" s="1"/>
  <c r="AC753" i="3"/>
  <c r="T753" i="3" l="1"/>
  <c r="L752" i="3"/>
  <c r="AG753" i="3" l="1"/>
  <c r="U752" i="3"/>
  <c r="E753" i="3" s="1"/>
  <c r="H753" i="3" s="1"/>
  <c r="AH753" i="3"/>
  <c r="Y751" i="3"/>
  <c r="K753" i="3" l="1"/>
  <c r="AE753" i="3" s="1"/>
  <c r="D753" i="3"/>
  <c r="V753" i="3" l="1"/>
  <c r="A754" i="3"/>
  <c r="B754" i="3" s="1"/>
  <c r="F753" i="3"/>
  <c r="G753" i="3"/>
  <c r="I753" i="3" l="1"/>
  <c r="W753" i="3" s="1"/>
  <c r="J753" i="3"/>
  <c r="M753" i="3"/>
  <c r="N753" i="3" s="1"/>
  <c r="AC754" i="3"/>
  <c r="P754" i="3"/>
  <c r="Q754" i="3" s="1"/>
  <c r="R754" i="3" s="1"/>
  <c r="S754" i="3" s="1"/>
  <c r="Z754" i="3"/>
  <c r="AA754" i="3"/>
  <c r="T754" i="3" l="1"/>
  <c r="L753" i="3"/>
  <c r="AG754" i="3" l="1"/>
  <c r="AH754" i="3"/>
  <c r="U753" i="3"/>
  <c r="E754" i="3" s="1"/>
  <c r="H754" i="3" s="1"/>
  <c r="Y752" i="3"/>
  <c r="D754" i="3" l="1"/>
  <c r="G754" i="3" s="1"/>
  <c r="K754" i="3"/>
  <c r="AE754" i="3" s="1"/>
  <c r="F754" i="3" l="1"/>
  <c r="I754" i="3"/>
  <c r="J754" i="3"/>
  <c r="AD754" i="3" s="1"/>
  <c r="M754" i="3"/>
  <c r="N754" i="3" s="1"/>
  <c r="V754" i="3"/>
  <c r="A755" i="3"/>
  <c r="B755" i="3" s="1"/>
  <c r="W754" i="3" l="1"/>
  <c r="L754" i="3"/>
  <c r="AD755" i="3"/>
  <c r="AC755" i="3"/>
  <c r="AA755" i="3"/>
  <c r="P755" i="3"/>
  <c r="Q755" i="3" s="1"/>
  <c r="R755" i="3" s="1"/>
  <c r="S755" i="3" s="1"/>
  <c r="Z755" i="3"/>
  <c r="T755" i="3" l="1"/>
  <c r="U754" i="3"/>
  <c r="Y753" i="3"/>
  <c r="E755" i="3" l="1"/>
  <c r="H755" i="3" s="1"/>
  <c r="K755" i="3" s="1"/>
  <c r="AE755" i="3" s="1"/>
  <c r="AH755" i="3"/>
  <c r="AG755" i="3"/>
  <c r="D755" i="3"/>
  <c r="F755" i="3" l="1"/>
  <c r="G755" i="3"/>
  <c r="V755" i="3"/>
  <c r="A756" i="3"/>
  <c r="B756" i="3" s="1"/>
  <c r="P756" i="3" l="1"/>
  <c r="Q756" i="3" s="1"/>
  <c r="R756" i="3" s="1"/>
  <c r="S756" i="3" s="1"/>
  <c r="Z756" i="3"/>
  <c r="AA756" i="3"/>
  <c r="AC756" i="3"/>
  <c r="AD756" i="3"/>
  <c r="I755" i="3"/>
  <c r="W755" i="3" s="1"/>
  <c r="J755" i="3"/>
  <c r="M755" i="3"/>
  <c r="N755" i="3" s="1"/>
  <c r="T756" i="3" l="1"/>
  <c r="L755" i="3"/>
  <c r="AG756" i="3" l="1"/>
  <c r="U755" i="3"/>
  <c r="E756" i="3" s="1"/>
  <c r="H756" i="3" s="1"/>
  <c r="AH756" i="3"/>
  <c r="Y754" i="3"/>
  <c r="D756" i="3" l="1"/>
  <c r="F756" i="3" s="1"/>
  <c r="K756" i="3"/>
  <c r="AE756" i="3" s="1"/>
  <c r="G756" i="3" l="1"/>
  <c r="M756" i="3" s="1"/>
  <c r="N756" i="3" s="1"/>
  <c r="V756" i="3"/>
  <c r="A757" i="3"/>
  <c r="B757" i="3" s="1"/>
  <c r="I756" i="3" l="1"/>
  <c r="W756" i="3" s="1"/>
  <c r="J756" i="3"/>
  <c r="L756" i="3" s="1"/>
  <c r="AD757" i="3"/>
  <c r="AC757" i="3"/>
  <c r="P757" i="3"/>
  <c r="Q757" i="3" s="1"/>
  <c r="R757" i="3" s="1"/>
  <c r="S757" i="3" s="1"/>
  <c r="Z757" i="3"/>
  <c r="AA757" i="3"/>
  <c r="T757" i="3" l="1"/>
  <c r="U756" i="3"/>
  <c r="Y755" i="3"/>
  <c r="E757" i="3" l="1"/>
  <c r="H757" i="3" s="1"/>
  <c r="K757" i="3" s="1"/>
  <c r="AE757" i="3" s="1"/>
  <c r="AH757" i="3"/>
  <c r="D757" i="3"/>
  <c r="AG757" i="3"/>
  <c r="V757" i="3" l="1"/>
  <c r="A758" i="3"/>
  <c r="B758" i="3" s="1"/>
  <c r="F757" i="3"/>
  <c r="G757" i="3"/>
  <c r="I757" i="3" l="1"/>
  <c r="W757" i="3" s="1"/>
  <c r="J757" i="3"/>
  <c r="M757" i="3"/>
  <c r="N757" i="3" s="1"/>
  <c r="AA758" i="3"/>
  <c r="Z758" i="3"/>
  <c r="AD758" i="3"/>
  <c r="AC758" i="3"/>
  <c r="P758" i="3"/>
  <c r="Q758" i="3" s="1"/>
  <c r="R758" i="3" s="1"/>
  <c r="S758" i="3" s="1"/>
  <c r="T758" i="3" l="1"/>
  <c r="L757" i="3"/>
  <c r="AG758" i="3" l="1"/>
  <c r="U757" i="3"/>
  <c r="D758" i="3" s="1"/>
  <c r="AH758" i="3"/>
  <c r="Y756" i="3"/>
  <c r="E758" i="3" l="1"/>
  <c r="H758" i="3" s="1"/>
  <c r="K758" i="3" s="1"/>
  <c r="AE758" i="3" s="1"/>
  <c r="G758" i="3"/>
  <c r="F758" i="3" l="1"/>
  <c r="V758" i="3"/>
  <c r="A759" i="3"/>
  <c r="B759" i="3" s="1"/>
  <c r="I758" i="3"/>
  <c r="J758" i="3"/>
  <c r="M758" i="3"/>
  <c r="N758" i="3" s="1"/>
  <c r="L758" i="3" l="1"/>
  <c r="W758" i="3"/>
  <c r="AD759" i="3"/>
  <c r="P759" i="3"/>
  <c r="Q759" i="3" s="1"/>
  <c r="R759" i="3" s="1"/>
  <c r="S759" i="3" s="1"/>
  <c r="Z759" i="3"/>
  <c r="AA759" i="3"/>
  <c r="AC759" i="3"/>
  <c r="U758" i="3" l="1"/>
  <c r="Y757" i="3"/>
  <c r="T759" i="3"/>
  <c r="D759" i="3" l="1"/>
  <c r="G759" i="3" s="1"/>
  <c r="AG759" i="3"/>
  <c r="E759" i="3"/>
  <c r="H759" i="3" s="1"/>
  <c r="AH759" i="3"/>
  <c r="F759" i="3" l="1"/>
  <c r="I759" i="3"/>
  <c r="J759" i="3"/>
  <c r="M759" i="3"/>
  <c r="N759" i="3" s="1"/>
  <c r="K759" i="3"/>
  <c r="AE759" i="3" s="1"/>
  <c r="V759" i="3" l="1"/>
  <c r="W759" i="3" s="1"/>
  <c r="A760" i="3"/>
  <c r="B760" i="3" s="1"/>
  <c r="L759" i="3"/>
  <c r="U759" i="3" l="1"/>
  <c r="Y758" i="3"/>
  <c r="AA760" i="3"/>
  <c r="AC760" i="3"/>
  <c r="Z760" i="3"/>
  <c r="P760" i="3"/>
  <c r="Q760" i="3" s="1"/>
  <c r="R760" i="3" s="1"/>
  <c r="S760" i="3" s="1"/>
  <c r="AD760" i="3"/>
  <c r="T760" i="3" l="1"/>
  <c r="E760" i="3" s="1"/>
  <c r="H760" i="3" s="1"/>
  <c r="AH760" i="3" l="1"/>
  <c r="AG760" i="3"/>
  <c r="D760" i="3"/>
  <c r="G760" i="3" s="1"/>
  <c r="K760" i="3"/>
  <c r="AE760" i="3" s="1"/>
  <c r="F760" i="3" l="1"/>
  <c r="I760" i="3"/>
  <c r="J760" i="3"/>
  <c r="M760" i="3"/>
  <c r="N760" i="3" s="1"/>
  <c r="V760" i="3"/>
  <c r="A761" i="3"/>
  <c r="B761" i="3" s="1"/>
  <c r="W760" i="3" l="1"/>
  <c r="L760" i="3"/>
  <c r="P761" i="3"/>
  <c r="Q761" i="3" s="1"/>
  <c r="R761" i="3" s="1"/>
  <c r="S761" i="3" s="1"/>
  <c r="Z761" i="3"/>
  <c r="AA761" i="3"/>
  <c r="AD761" i="3"/>
  <c r="AC761" i="3"/>
  <c r="T761" i="3" l="1"/>
  <c r="U760" i="3"/>
  <c r="Y759" i="3"/>
  <c r="D761" i="3" l="1"/>
  <c r="G761" i="3" s="1"/>
  <c r="AG761" i="3"/>
  <c r="AH761" i="3"/>
  <c r="E761" i="3"/>
  <c r="H761" i="3" s="1"/>
  <c r="F761" i="3" l="1"/>
  <c r="I761" i="3"/>
  <c r="J761" i="3"/>
  <c r="M761" i="3"/>
  <c r="N761" i="3" s="1"/>
  <c r="K761" i="3"/>
  <c r="AE761" i="3" s="1"/>
  <c r="V761" i="3" l="1"/>
  <c r="W761" i="3" s="1"/>
  <c r="A762" i="3"/>
  <c r="B762" i="3" s="1"/>
  <c r="L761" i="3"/>
  <c r="U761" i="3" l="1"/>
  <c r="Y760" i="3"/>
  <c r="AA762" i="3"/>
  <c r="Z762" i="3"/>
  <c r="AC762" i="3"/>
  <c r="P762" i="3"/>
  <c r="Q762" i="3" s="1"/>
  <c r="R762" i="3" s="1"/>
  <c r="S762" i="3" s="1"/>
  <c r="AD762" i="3"/>
  <c r="T762" i="3" l="1"/>
  <c r="D762" i="3" s="1"/>
  <c r="E762" i="3" l="1"/>
  <c r="H762" i="3" s="1"/>
  <c r="K762" i="3" s="1"/>
  <c r="AE762" i="3" s="1"/>
  <c r="AH762" i="3"/>
  <c r="AG762" i="3"/>
  <c r="G762" i="3"/>
  <c r="F762" i="3" l="1"/>
  <c r="I762" i="3"/>
  <c r="J762" i="3"/>
  <c r="M762" i="3"/>
  <c r="N762" i="3" s="1"/>
  <c r="V762" i="3"/>
  <c r="A763" i="3"/>
  <c r="B763" i="3" s="1"/>
  <c r="W762" i="3" l="1"/>
  <c r="L762" i="3"/>
  <c r="AC763" i="3"/>
  <c r="Z763" i="3"/>
  <c r="AA763" i="3"/>
  <c r="P763" i="3"/>
  <c r="Q763" i="3" s="1"/>
  <c r="R763" i="3" s="1"/>
  <c r="S763" i="3" s="1"/>
  <c r="AD763" i="3"/>
  <c r="U762" i="3" l="1"/>
  <c r="Y761" i="3"/>
  <c r="T763" i="3"/>
  <c r="D763" i="3" l="1"/>
  <c r="G763" i="3" s="1"/>
  <c r="AG763" i="3"/>
  <c r="AH763" i="3"/>
  <c r="E763" i="3"/>
  <c r="H763" i="3" s="1"/>
  <c r="K763" i="3" s="1"/>
  <c r="AE763" i="3" s="1"/>
  <c r="F763" i="3" l="1"/>
  <c r="I763" i="3"/>
  <c r="J763" i="3"/>
  <c r="M763" i="3"/>
  <c r="N763" i="3" s="1"/>
  <c r="V763" i="3"/>
  <c r="A764" i="3"/>
  <c r="B764" i="3" s="1"/>
  <c r="W763" i="3" l="1"/>
  <c r="L763" i="3"/>
  <c r="Z764" i="3"/>
  <c r="P764" i="3"/>
  <c r="Q764" i="3" s="1"/>
  <c r="R764" i="3" s="1"/>
  <c r="S764" i="3" s="1"/>
  <c r="AC764" i="3"/>
  <c r="AA764" i="3"/>
  <c r="U763" i="3" l="1"/>
  <c r="Y762" i="3"/>
  <c r="T764" i="3"/>
  <c r="E764" i="3" l="1"/>
  <c r="H764" i="3" s="1"/>
  <c r="K764" i="3" s="1"/>
  <c r="AE764" i="3" s="1"/>
  <c r="AG764" i="3"/>
  <c r="D764" i="3"/>
  <c r="AH764" i="3"/>
  <c r="F764" i="3" l="1"/>
  <c r="G764" i="3"/>
  <c r="V764" i="3"/>
  <c r="A765" i="3"/>
  <c r="B765" i="3" s="1"/>
  <c r="P765" i="3" l="1"/>
  <c r="Q765" i="3" s="1"/>
  <c r="R765" i="3" s="1"/>
  <c r="S765" i="3" s="1"/>
  <c r="Z765" i="3"/>
  <c r="AA765" i="3"/>
  <c r="AC765" i="3"/>
  <c r="AD765" i="3"/>
  <c r="I764" i="3"/>
  <c r="W764" i="3" s="1"/>
  <c r="J764" i="3"/>
  <c r="AD764" i="3" s="1"/>
  <c r="M764" i="3"/>
  <c r="N764" i="3" s="1"/>
  <c r="T765" i="3" l="1"/>
  <c r="L764" i="3"/>
  <c r="AG765" i="3" l="1"/>
  <c r="AH765" i="3"/>
  <c r="U764" i="3"/>
  <c r="D765" i="3" s="1"/>
  <c r="Y763" i="3"/>
  <c r="E765" i="3" l="1"/>
  <c r="H765" i="3" s="1"/>
  <c r="K765" i="3" s="1"/>
  <c r="AE765" i="3" s="1"/>
  <c r="G765" i="3"/>
  <c r="F765" i="3" l="1"/>
  <c r="I765" i="3"/>
  <c r="J765" i="3"/>
  <c r="M765" i="3"/>
  <c r="N765" i="3" s="1"/>
  <c r="V765" i="3"/>
  <c r="A766" i="3"/>
  <c r="B766" i="3" s="1"/>
  <c r="W765" i="3" l="1"/>
  <c r="L765" i="3"/>
  <c r="AD766" i="3"/>
  <c r="P766" i="3"/>
  <c r="Q766" i="3" s="1"/>
  <c r="R766" i="3" s="1"/>
  <c r="S766" i="3" s="1"/>
  <c r="AA766" i="3"/>
  <c r="Z766" i="3"/>
  <c r="AC766" i="3"/>
  <c r="U765" i="3" l="1"/>
  <c r="Y764" i="3"/>
  <c r="T766" i="3"/>
  <c r="E766" i="3" l="1"/>
  <c r="H766" i="3" s="1"/>
  <c r="K766" i="3" s="1"/>
  <c r="AE766" i="3" s="1"/>
  <c r="D766" i="3"/>
  <c r="AG766" i="3"/>
  <c r="AH766" i="3"/>
  <c r="V766" i="3" l="1"/>
  <c r="A767" i="3"/>
  <c r="B767" i="3" s="1"/>
  <c r="F766" i="3"/>
  <c r="G766" i="3"/>
  <c r="I766" i="3" l="1"/>
  <c r="W766" i="3" s="1"/>
  <c r="J766" i="3"/>
  <c r="M766" i="3"/>
  <c r="N766" i="3" s="1"/>
  <c r="P767" i="3"/>
  <c r="Q767" i="3" s="1"/>
  <c r="R767" i="3" s="1"/>
  <c r="S767" i="3" s="1"/>
  <c r="AC767" i="3"/>
  <c r="AD767" i="3"/>
  <c r="AA767" i="3"/>
  <c r="Z767" i="3"/>
  <c r="T767" i="3" l="1"/>
  <c r="L766" i="3"/>
  <c r="AH767" i="3" l="1"/>
  <c r="AG767" i="3"/>
  <c r="U766" i="3"/>
  <c r="D767" i="3" s="1"/>
  <c r="Y765" i="3"/>
  <c r="E767" i="3" l="1"/>
  <c r="H767" i="3" s="1"/>
  <c r="K767" i="3" s="1"/>
  <c r="AE767" i="3" s="1"/>
  <c r="G767" i="3"/>
  <c r="F767" i="3" l="1"/>
  <c r="I767" i="3"/>
  <c r="J767" i="3"/>
  <c r="M767" i="3"/>
  <c r="N767" i="3" s="1"/>
  <c r="V767" i="3"/>
  <c r="A768" i="3"/>
  <c r="B768" i="3" s="1"/>
  <c r="W767" i="3" l="1"/>
  <c r="L767" i="3"/>
  <c r="AC768" i="3"/>
  <c r="AA768" i="3"/>
  <c r="AD768" i="3"/>
  <c r="P768" i="3"/>
  <c r="Q768" i="3" s="1"/>
  <c r="R768" i="3" s="1"/>
  <c r="S768" i="3" s="1"/>
  <c r="Z768" i="3"/>
  <c r="T768" i="3" l="1"/>
  <c r="AG768" i="3" s="1"/>
  <c r="U767" i="3"/>
  <c r="Y766" i="3"/>
  <c r="D768" i="3" l="1"/>
  <c r="G768" i="3" s="1"/>
  <c r="AH768" i="3"/>
  <c r="E768" i="3"/>
  <c r="H768" i="3" s="1"/>
  <c r="K768" i="3" l="1"/>
  <c r="AE768" i="3" s="1"/>
  <c r="I768" i="3"/>
  <c r="J768" i="3"/>
  <c r="M768" i="3"/>
  <c r="N768" i="3" s="1"/>
  <c r="F768" i="3"/>
  <c r="L768" i="3" l="1"/>
  <c r="V768" i="3"/>
  <c r="W768" i="3" s="1"/>
  <c r="A769" i="3"/>
  <c r="B769" i="3" s="1"/>
  <c r="AD769" i="3" l="1"/>
  <c r="AC769" i="3"/>
  <c r="Z769" i="3"/>
  <c r="P769" i="3"/>
  <c r="Q769" i="3" s="1"/>
  <c r="R769" i="3" s="1"/>
  <c r="S769" i="3" s="1"/>
  <c r="AA769" i="3"/>
  <c r="U768" i="3"/>
  <c r="Y767" i="3"/>
  <c r="T769" i="3" l="1"/>
  <c r="AG769" i="3" l="1"/>
  <c r="D769" i="3"/>
  <c r="AH769" i="3"/>
  <c r="E769" i="3"/>
  <c r="H769" i="3" s="1"/>
  <c r="F769" i="3" l="1"/>
  <c r="G769" i="3"/>
  <c r="K769" i="3"/>
  <c r="AE769" i="3" s="1"/>
  <c r="V769" i="3" l="1"/>
  <c r="A770" i="3"/>
  <c r="B770" i="3" s="1"/>
  <c r="I769" i="3"/>
  <c r="J769" i="3"/>
  <c r="M769" i="3"/>
  <c r="N769" i="3" s="1"/>
  <c r="W769" i="3" l="1"/>
  <c r="L769" i="3"/>
  <c r="AC770" i="3"/>
  <c r="P770" i="3"/>
  <c r="Q770" i="3" s="1"/>
  <c r="R770" i="3" s="1"/>
  <c r="S770" i="3" s="1"/>
  <c r="AD770" i="3"/>
  <c r="Z770" i="3"/>
  <c r="AA770" i="3"/>
  <c r="U769" i="3" l="1"/>
  <c r="Y768" i="3"/>
  <c r="T770" i="3"/>
  <c r="AG770" i="3" s="1"/>
  <c r="E770" i="3" l="1"/>
  <c r="H770" i="3" s="1"/>
  <c r="K770" i="3" s="1"/>
  <c r="AE770" i="3" s="1"/>
  <c r="D770" i="3"/>
  <c r="AH770" i="3"/>
  <c r="F770" i="3" l="1"/>
  <c r="G770" i="3"/>
  <c r="M770" i="3" s="1"/>
  <c r="N770" i="3" s="1"/>
  <c r="V770" i="3"/>
  <c r="A771" i="3"/>
  <c r="B771" i="3" s="1"/>
  <c r="I770" i="3" l="1"/>
  <c r="W770" i="3" s="1"/>
  <c r="J770" i="3"/>
  <c r="L770" i="3" s="1"/>
  <c r="AA771" i="3"/>
  <c r="AC771" i="3"/>
  <c r="P771" i="3"/>
  <c r="Q771" i="3" s="1"/>
  <c r="R771" i="3" s="1"/>
  <c r="S771" i="3" s="1"/>
  <c r="Z771" i="3"/>
  <c r="AD771" i="3"/>
  <c r="U770" i="3" l="1"/>
  <c r="Y769" i="3"/>
  <c r="T771" i="3"/>
  <c r="AH771" i="3" s="1"/>
  <c r="E771" i="3" l="1"/>
  <c r="H771" i="3" s="1"/>
  <c r="AG771" i="3"/>
  <c r="D771" i="3"/>
  <c r="K771" i="3" l="1"/>
  <c r="AE771" i="3" s="1"/>
  <c r="F771" i="3"/>
  <c r="G771" i="3"/>
  <c r="V771" i="3" l="1"/>
  <c r="A772" i="3"/>
  <c r="B772" i="3" s="1"/>
  <c r="I771" i="3"/>
  <c r="J771" i="3"/>
  <c r="M771" i="3"/>
  <c r="N771" i="3" s="1"/>
  <c r="L771" i="3" l="1"/>
  <c r="W771" i="3"/>
  <c r="AD772" i="3"/>
  <c r="AA772" i="3"/>
  <c r="Z772" i="3"/>
  <c r="AC772" i="3"/>
  <c r="P772" i="3"/>
  <c r="Q772" i="3" s="1"/>
  <c r="R772" i="3" s="1"/>
  <c r="S772" i="3" s="1"/>
  <c r="U771" i="3" l="1"/>
  <c r="Y770" i="3"/>
  <c r="T772" i="3"/>
  <c r="E772" i="3" l="1"/>
  <c r="H772" i="3" s="1"/>
  <c r="K772" i="3" s="1"/>
  <c r="AE772" i="3" s="1"/>
  <c r="D772" i="3"/>
  <c r="G772" i="3" s="1"/>
  <c r="AG772" i="3"/>
  <c r="AH772" i="3"/>
  <c r="F772" i="3" l="1"/>
  <c r="V772" i="3"/>
  <c r="A773" i="3"/>
  <c r="B773" i="3" s="1"/>
  <c r="I772" i="3"/>
  <c r="J772" i="3"/>
  <c r="M772" i="3"/>
  <c r="N772" i="3" s="1"/>
  <c r="W772" i="3" l="1"/>
  <c r="L772" i="3"/>
  <c r="AA773" i="3"/>
  <c r="P773" i="3"/>
  <c r="Q773" i="3" s="1"/>
  <c r="R773" i="3" s="1"/>
  <c r="S773" i="3" s="1"/>
  <c r="Z773" i="3"/>
  <c r="AD773" i="3"/>
  <c r="AC773" i="3"/>
  <c r="U772" i="3" l="1"/>
  <c r="Y771" i="3"/>
  <c r="T773" i="3"/>
  <c r="AG773" i="3" s="1"/>
  <c r="D773" i="3" l="1"/>
  <c r="E773" i="3"/>
  <c r="H773" i="3" s="1"/>
  <c r="K773" i="3" s="1"/>
  <c r="AE773" i="3" s="1"/>
  <c r="AH773" i="3"/>
  <c r="F773" i="3" l="1"/>
  <c r="G773" i="3"/>
  <c r="M773" i="3" s="1"/>
  <c r="N773" i="3" s="1"/>
  <c r="V773" i="3"/>
  <c r="A774" i="3"/>
  <c r="B774" i="3" s="1"/>
  <c r="I773" i="3" l="1"/>
  <c r="W773" i="3" s="1"/>
  <c r="J773" i="3"/>
  <c r="L773" i="3" s="1"/>
  <c r="AC774" i="3"/>
  <c r="P774" i="3"/>
  <c r="Q774" i="3" s="1"/>
  <c r="R774" i="3" s="1"/>
  <c r="S774" i="3" s="1"/>
  <c r="AA774" i="3"/>
  <c r="Z774" i="3"/>
  <c r="U773" i="3" l="1"/>
  <c r="Y772" i="3"/>
  <c r="T774" i="3"/>
  <c r="AG774" i="3" s="1"/>
  <c r="E774" i="3" l="1"/>
  <c r="H774" i="3" s="1"/>
  <c r="K774" i="3" s="1"/>
  <c r="AE774" i="3" s="1"/>
  <c r="AH774" i="3"/>
  <c r="D774" i="3"/>
  <c r="F774" i="3" l="1"/>
  <c r="G774" i="3"/>
  <c r="M774" i="3" s="1"/>
  <c r="N774" i="3" s="1"/>
  <c r="V774" i="3"/>
  <c r="A775" i="3"/>
  <c r="B775" i="3" s="1"/>
  <c r="I774" i="3" l="1"/>
  <c r="W774" i="3" s="1"/>
  <c r="J774" i="3"/>
  <c r="P775" i="3"/>
  <c r="Q775" i="3" s="1"/>
  <c r="R775" i="3" s="1"/>
  <c r="S775" i="3" s="1"/>
  <c r="Z775" i="3"/>
  <c r="AD775" i="3"/>
  <c r="AA775" i="3"/>
  <c r="AC775" i="3"/>
  <c r="L774" i="3" l="1"/>
  <c r="Y773" i="3" s="1"/>
  <c r="AD774" i="3"/>
  <c r="T775" i="3"/>
  <c r="U774" i="3" l="1"/>
  <c r="D775" i="3" s="1"/>
  <c r="AG775" i="3"/>
  <c r="AH775" i="3"/>
  <c r="E775" i="3" l="1"/>
  <c r="H775" i="3" s="1"/>
  <c r="K775" i="3" s="1"/>
  <c r="AE775" i="3" s="1"/>
  <c r="G775" i="3"/>
  <c r="M775" i="3" l="1"/>
  <c r="N775" i="3" s="1"/>
  <c r="A776" i="3"/>
  <c r="B776" i="3" s="1"/>
  <c r="AD776" i="3" s="1"/>
  <c r="V775" i="3"/>
  <c r="F775" i="3"/>
  <c r="I775" i="3"/>
  <c r="J775" i="3"/>
  <c r="L775" i="3" s="1"/>
  <c r="W775" i="3" l="1"/>
  <c r="P776" i="3"/>
  <c r="Q776" i="3" s="1"/>
  <c r="R776" i="3" s="1"/>
  <c r="S776" i="3" s="1"/>
  <c r="T776" i="3" s="1"/>
  <c r="AA776" i="3"/>
  <c r="AC776" i="3"/>
  <c r="Z776" i="3"/>
  <c r="U775" i="3"/>
  <c r="Y774" i="3"/>
  <c r="AG776" i="3" l="1"/>
  <c r="AH776" i="3"/>
  <c r="E776" i="3"/>
  <c r="H776" i="3" s="1"/>
  <c r="K776" i="3" s="1"/>
  <c r="AE776" i="3" s="1"/>
  <c r="D776" i="3"/>
  <c r="G776" i="3" s="1"/>
  <c r="F776" i="3" l="1"/>
  <c r="I776" i="3"/>
  <c r="J776" i="3"/>
  <c r="M776" i="3"/>
  <c r="N776" i="3" s="1"/>
  <c r="V776" i="3"/>
  <c r="A777" i="3"/>
  <c r="B777" i="3" s="1"/>
  <c r="W776" i="3" l="1"/>
  <c r="L776" i="3"/>
  <c r="Z777" i="3"/>
  <c r="AA777" i="3"/>
  <c r="P777" i="3"/>
  <c r="Q777" i="3" s="1"/>
  <c r="R777" i="3" s="1"/>
  <c r="S777" i="3" s="1"/>
  <c r="AD777" i="3"/>
  <c r="AC777" i="3"/>
  <c r="U776" i="3" l="1"/>
  <c r="Y775" i="3"/>
  <c r="T777" i="3"/>
  <c r="AH777" i="3" s="1"/>
  <c r="E777" i="3" l="1"/>
  <c r="H777" i="3" s="1"/>
  <c r="D777" i="3"/>
  <c r="AG777" i="3"/>
  <c r="K777" i="3" l="1"/>
  <c r="AE777" i="3" s="1"/>
  <c r="F777" i="3"/>
  <c r="G777" i="3"/>
  <c r="I777" i="3" l="1"/>
  <c r="J777" i="3"/>
  <c r="M777" i="3"/>
  <c r="N777" i="3" s="1"/>
  <c r="V777" i="3"/>
  <c r="A778" i="3"/>
  <c r="B778" i="3" s="1"/>
  <c r="L777" i="3" l="1"/>
  <c r="W777" i="3"/>
  <c r="P778" i="3"/>
  <c r="Q778" i="3" s="1"/>
  <c r="R778" i="3" s="1"/>
  <c r="S778" i="3" s="1"/>
  <c r="Z778" i="3"/>
  <c r="AD778" i="3"/>
  <c r="AA778" i="3"/>
  <c r="AC778" i="3"/>
  <c r="U777" i="3" l="1"/>
  <c r="Y776" i="3"/>
  <c r="T778" i="3"/>
  <c r="AH778" i="3" s="1"/>
  <c r="E778" i="3" l="1"/>
  <c r="H778" i="3" s="1"/>
  <c r="K778" i="3" s="1"/>
  <c r="AE778" i="3" s="1"/>
  <c r="AG778" i="3"/>
  <c r="D778" i="3"/>
  <c r="G778" i="3" s="1"/>
  <c r="F778" i="3" l="1"/>
  <c r="I778" i="3"/>
  <c r="J778" i="3"/>
  <c r="M778" i="3"/>
  <c r="N778" i="3" s="1"/>
  <c r="V778" i="3"/>
  <c r="A779" i="3"/>
  <c r="B779" i="3" s="1"/>
  <c r="W778" i="3" l="1"/>
  <c r="L778" i="3"/>
  <c r="P779" i="3"/>
  <c r="Q779" i="3" s="1"/>
  <c r="R779" i="3" s="1"/>
  <c r="S779" i="3" s="1"/>
  <c r="AA779" i="3"/>
  <c r="AC779" i="3"/>
  <c r="AD779" i="3"/>
  <c r="Z779" i="3"/>
  <c r="U778" i="3" l="1"/>
  <c r="Y777" i="3"/>
  <c r="T779" i="3"/>
  <c r="E779" i="3" l="1"/>
  <c r="H779" i="3" s="1"/>
  <c r="K779" i="3" s="1"/>
  <c r="AE779" i="3" s="1"/>
  <c r="AG779" i="3"/>
  <c r="AH779" i="3"/>
  <c r="D779" i="3"/>
  <c r="G779" i="3" s="1"/>
  <c r="F779" i="3" l="1"/>
  <c r="I779" i="3"/>
  <c r="J779" i="3"/>
  <c r="M779" i="3"/>
  <c r="N779" i="3" s="1"/>
  <c r="V779" i="3"/>
  <c r="A780" i="3"/>
  <c r="B780" i="3" s="1"/>
  <c r="W779" i="3" l="1"/>
  <c r="L779" i="3"/>
  <c r="P780" i="3"/>
  <c r="Q780" i="3" s="1"/>
  <c r="R780" i="3" s="1"/>
  <c r="S780" i="3" s="1"/>
  <c r="AD780" i="3"/>
  <c r="AA780" i="3"/>
  <c r="Z780" i="3"/>
  <c r="AC780" i="3"/>
  <c r="U779" i="3" l="1"/>
  <c r="Y778" i="3"/>
  <c r="T780" i="3"/>
  <c r="D780" i="3" l="1"/>
  <c r="G780" i="3" s="1"/>
  <c r="AH780" i="3"/>
  <c r="E780" i="3"/>
  <c r="H780" i="3" s="1"/>
  <c r="K780" i="3" s="1"/>
  <c r="AE780" i="3" s="1"/>
  <c r="AG780" i="3"/>
  <c r="F780" i="3" l="1"/>
  <c r="I780" i="3"/>
  <c r="J780" i="3"/>
  <c r="M780" i="3"/>
  <c r="N780" i="3" s="1"/>
  <c r="V780" i="3"/>
  <c r="A781" i="3"/>
  <c r="B781" i="3" s="1"/>
  <c r="W780" i="3" l="1"/>
  <c r="L780" i="3"/>
  <c r="P781" i="3"/>
  <c r="Q781" i="3" s="1"/>
  <c r="R781" i="3" s="1"/>
  <c r="S781" i="3" s="1"/>
  <c r="AD781" i="3"/>
  <c r="Z781" i="3"/>
  <c r="AA781" i="3"/>
  <c r="AC781" i="3"/>
  <c r="T781" i="3" l="1"/>
  <c r="U780" i="3"/>
  <c r="Y779" i="3"/>
  <c r="E781" i="3" l="1"/>
  <c r="H781" i="3" s="1"/>
  <c r="K781" i="3" s="1"/>
  <c r="AE781" i="3" s="1"/>
  <c r="AG781" i="3"/>
  <c r="AH781" i="3"/>
  <c r="D781" i="3"/>
  <c r="F781" i="3" l="1"/>
  <c r="G781" i="3"/>
  <c r="V781" i="3"/>
  <c r="A782" i="3"/>
  <c r="B782" i="3" s="1"/>
  <c r="P782" i="3" l="1"/>
  <c r="Q782" i="3" s="1"/>
  <c r="R782" i="3" s="1"/>
  <c r="S782" i="3" s="1"/>
  <c r="AC782" i="3"/>
  <c r="AD782" i="3"/>
  <c r="AA782" i="3"/>
  <c r="Z782" i="3"/>
  <c r="I781" i="3"/>
  <c r="W781" i="3" s="1"/>
  <c r="J781" i="3"/>
  <c r="M781" i="3"/>
  <c r="N781" i="3" s="1"/>
  <c r="T782" i="3" l="1"/>
  <c r="L781" i="3"/>
  <c r="U781" i="3" l="1"/>
  <c r="D782" i="3" s="1"/>
  <c r="AH782" i="3"/>
  <c r="AG782" i="3"/>
  <c r="Y780" i="3"/>
  <c r="E782" i="3" l="1"/>
  <c r="H782" i="3" s="1"/>
  <c r="K782" i="3" s="1"/>
  <c r="AE782" i="3" s="1"/>
  <c r="G782" i="3"/>
  <c r="F782" i="3" l="1"/>
  <c r="I782" i="3"/>
  <c r="J782" i="3"/>
  <c r="M782" i="3"/>
  <c r="N782" i="3" s="1"/>
  <c r="V782" i="3"/>
  <c r="A783" i="3"/>
  <c r="B783" i="3" s="1"/>
  <c r="W782" i="3" l="1"/>
  <c r="L782" i="3"/>
  <c r="AA783" i="3"/>
  <c r="Z783" i="3"/>
  <c r="P783" i="3"/>
  <c r="Q783" i="3" s="1"/>
  <c r="R783" i="3" s="1"/>
  <c r="S783" i="3" s="1"/>
  <c r="AD783" i="3"/>
  <c r="AC783" i="3"/>
  <c r="U782" i="3" l="1"/>
  <c r="Y781" i="3"/>
  <c r="T783" i="3"/>
  <c r="AH783" i="3" s="1"/>
  <c r="AG783" i="3" l="1"/>
  <c r="D783" i="3"/>
  <c r="G783" i="3" s="1"/>
  <c r="E783" i="3"/>
  <c r="H783" i="3" s="1"/>
  <c r="K783" i="3" s="1"/>
  <c r="AE783" i="3" s="1"/>
  <c r="F783" i="3" l="1"/>
  <c r="I783" i="3"/>
  <c r="J783" i="3"/>
  <c r="M783" i="3"/>
  <c r="N783" i="3" s="1"/>
  <c r="V783" i="3"/>
  <c r="A784" i="3"/>
  <c r="B784" i="3" s="1"/>
  <c r="W783" i="3" l="1"/>
  <c r="L783" i="3"/>
  <c r="AC784" i="3"/>
  <c r="Z784" i="3"/>
  <c r="P784" i="3"/>
  <c r="Q784" i="3" s="1"/>
  <c r="R784" i="3" s="1"/>
  <c r="S784" i="3" s="1"/>
  <c r="AA784" i="3"/>
  <c r="T784" i="3" l="1"/>
  <c r="AG784" i="3" s="1"/>
  <c r="U783" i="3"/>
  <c r="Y782" i="3"/>
  <c r="E784" i="3" l="1"/>
  <c r="H784" i="3" s="1"/>
  <c r="AH784" i="3"/>
  <c r="D784" i="3"/>
  <c r="K784" i="3" l="1"/>
  <c r="AE784" i="3" s="1"/>
  <c r="F784" i="3"/>
  <c r="G784" i="3"/>
  <c r="V784" i="3" l="1"/>
  <c r="A785" i="3"/>
  <c r="B785" i="3" s="1"/>
  <c r="I784" i="3"/>
  <c r="J784" i="3"/>
  <c r="AD784" i="3" s="1"/>
  <c r="M784" i="3"/>
  <c r="N784" i="3" s="1"/>
  <c r="W784" i="3" l="1"/>
  <c r="L784" i="3"/>
  <c r="AA785" i="3"/>
  <c r="AD785" i="3"/>
  <c r="P785" i="3"/>
  <c r="Q785" i="3" s="1"/>
  <c r="R785" i="3" s="1"/>
  <c r="S785" i="3" s="1"/>
  <c r="AC785" i="3"/>
  <c r="Z785" i="3"/>
  <c r="U784" i="3" l="1"/>
  <c r="Y783" i="3"/>
  <c r="T785" i="3"/>
  <c r="AH785" i="3" s="1"/>
  <c r="E785" i="3" l="1"/>
  <c r="H785" i="3" s="1"/>
  <c r="AG785" i="3"/>
  <c r="D785" i="3"/>
  <c r="K785" i="3" l="1"/>
  <c r="AE785" i="3" s="1"/>
  <c r="F785" i="3"/>
  <c r="G785" i="3"/>
  <c r="I785" i="3" l="1"/>
  <c r="J785" i="3"/>
  <c r="M785" i="3"/>
  <c r="N785" i="3" s="1"/>
  <c r="V785" i="3"/>
  <c r="A786" i="3"/>
  <c r="B786" i="3" s="1"/>
  <c r="W785" i="3" l="1"/>
  <c r="L785" i="3"/>
  <c r="Z786" i="3"/>
  <c r="AD786" i="3"/>
  <c r="AA786" i="3"/>
  <c r="P786" i="3"/>
  <c r="Q786" i="3" s="1"/>
  <c r="R786" i="3" s="1"/>
  <c r="S786" i="3" s="1"/>
  <c r="AC786" i="3"/>
  <c r="U785" i="3" l="1"/>
  <c r="Y784" i="3"/>
  <c r="T786" i="3"/>
  <c r="E786" i="3" l="1"/>
  <c r="H786" i="3" s="1"/>
  <c r="K786" i="3" s="1"/>
  <c r="AE786" i="3" s="1"/>
  <c r="AG786" i="3"/>
  <c r="D786" i="3"/>
  <c r="G786" i="3" s="1"/>
  <c r="AH786" i="3"/>
  <c r="F786" i="3" l="1"/>
  <c r="I786" i="3"/>
  <c r="J786" i="3"/>
  <c r="M786" i="3"/>
  <c r="N786" i="3" s="1"/>
  <c r="V786" i="3"/>
  <c r="A787" i="3"/>
  <c r="B787" i="3" s="1"/>
  <c r="L786" i="3" l="1"/>
  <c r="W786" i="3"/>
  <c r="AC787" i="3"/>
  <c r="P787" i="3"/>
  <c r="Q787" i="3" s="1"/>
  <c r="R787" i="3" s="1"/>
  <c r="S787" i="3" s="1"/>
  <c r="Z787" i="3"/>
  <c r="AD787" i="3"/>
  <c r="AA787" i="3"/>
  <c r="U786" i="3" l="1"/>
  <c r="Y785" i="3"/>
  <c r="T787" i="3"/>
  <c r="D787" i="3" l="1"/>
  <c r="G787" i="3" s="1"/>
  <c r="AH787" i="3"/>
  <c r="E787" i="3"/>
  <c r="H787" i="3" s="1"/>
  <c r="AG787" i="3"/>
  <c r="F787" i="3" l="1"/>
  <c r="I787" i="3"/>
  <c r="J787" i="3"/>
  <c r="M787" i="3"/>
  <c r="N787" i="3" s="1"/>
  <c r="K787" i="3"/>
  <c r="AE787" i="3" s="1"/>
  <c r="V787" i="3" l="1"/>
  <c r="W787" i="3" s="1"/>
  <c r="A788" i="3"/>
  <c r="B788" i="3" s="1"/>
  <c r="L787" i="3"/>
  <c r="U787" i="3" l="1"/>
  <c r="Y786" i="3"/>
  <c r="AC788" i="3"/>
  <c r="Z788" i="3"/>
  <c r="AD788" i="3"/>
  <c r="AA788" i="3"/>
  <c r="P788" i="3"/>
  <c r="Q788" i="3" s="1"/>
  <c r="R788" i="3" s="1"/>
  <c r="S788" i="3" s="1"/>
  <c r="T788" i="3" l="1"/>
  <c r="E788" i="3" s="1"/>
  <c r="H788" i="3" s="1"/>
  <c r="D788" i="3" l="1"/>
  <c r="F788" i="3" s="1"/>
  <c r="AG788" i="3"/>
  <c r="AH788" i="3"/>
  <c r="K788" i="3"/>
  <c r="AE788" i="3" s="1"/>
  <c r="G788" i="3" l="1"/>
  <c r="I788" i="3" s="1"/>
  <c r="V788" i="3"/>
  <c r="A789" i="3"/>
  <c r="B789" i="3" s="1"/>
  <c r="M788" i="3" l="1"/>
  <c r="N788" i="3" s="1"/>
  <c r="J788" i="3"/>
  <c r="L788" i="3" s="1"/>
  <c r="W788" i="3"/>
  <c r="P789" i="3"/>
  <c r="Q789" i="3" s="1"/>
  <c r="R789" i="3" s="1"/>
  <c r="S789" i="3" s="1"/>
  <c r="AC789" i="3"/>
  <c r="AD789" i="3"/>
  <c r="AA789" i="3"/>
  <c r="Z789" i="3"/>
  <c r="U788" i="3" l="1"/>
  <c r="Y787" i="3"/>
  <c r="T789" i="3"/>
  <c r="D789" i="3" l="1"/>
  <c r="G789" i="3" s="1"/>
  <c r="E789" i="3"/>
  <c r="H789" i="3" s="1"/>
  <c r="AH789" i="3"/>
  <c r="AG789" i="3"/>
  <c r="F789" i="3" l="1"/>
  <c r="I789" i="3"/>
  <c r="J789" i="3"/>
  <c r="M789" i="3"/>
  <c r="N789" i="3" s="1"/>
  <c r="K789" i="3"/>
  <c r="AE789" i="3" s="1"/>
  <c r="L789" i="3" l="1"/>
  <c r="V789" i="3"/>
  <c r="W789" i="3" s="1"/>
  <c r="A790" i="3"/>
  <c r="B790" i="3" s="1"/>
  <c r="AA790" i="3" l="1"/>
  <c r="AC790" i="3"/>
  <c r="Z790" i="3"/>
  <c r="AD790" i="3"/>
  <c r="P790" i="3"/>
  <c r="Q790" i="3" s="1"/>
  <c r="R790" i="3" s="1"/>
  <c r="S790" i="3" s="1"/>
  <c r="U789" i="3"/>
  <c r="Y788" i="3"/>
  <c r="T790" i="3" l="1"/>
  <c r="D790" i="3" s="1"/>
  <c r="AG790" i="3" l="1"/>
  <c r="G790" i="3"/>
  <c r="AH790" i="3"/>
  <c r="E790" i="3"/>
  <c r="H790" i="3" s="1"/>
  <c r="F790" i="3" l="1"/>
  <c r="I790" i="3"/>
  <c r="J790" i="3"/>
  <c r="M790" i="3"/>
  <c r="N790" i="3" s="1"/>
  <c r="K790" i="3"/>
  <c r="AE790" i="3" s="1"/>
  <c r="V790" i="3" l="1"/>
  <c r="W790" i="3" s="1"/>
  <c r="A791" i="3"/>
  <c r="B791" i="3" s="1"/>
  <c r="L790" i="3"/>
  <c r="U790" i="3" l="1"/>
  <c r="Y789" i="3"/>
  <c r="AD791" i="3"/>
  <c r="P791" i="3"/>
  <c r="Q791" i="3" s="1"/>
  <c r="R791" i="3" s="1"/>
  <c r="S791" i="3" s="1"/>
  <c r="AA791" i="3"/>
  <c r="AC791" i="3"/>
  <c r="Z791" i="3"/>
  <c r="T791" i="3" l="1"/>
  <c r="AG791" i="3" s="1"/>
  <c r="E791" i="3" l="1"/>
  <c r="H791" i="3" s="1"/>
  <c r="K791" i="3" s="1"/>
  <c r="AE791" i="3" s="1"/>
  <c r="D791" i="3"/>
  <c r="G791" i="3" s="1"/>
  <c r="AH791" i="3"/>
  <c r="F791" i="3" l="1"/>
  <c r="I791" i="3"/>
  <c r="J791" i="3"/>
  <c r="M791" i="3"/>
  <c r="N791" i="3" s="1"/>
  <c r="V791" i="3"/>
  <c r="A792" i="3"/>
  <c r="B792" i="3" s="1"/>
  <c r="W791" i="3" l="1"/>
  <c r="L791" i="3"/>
  <c r="P792" i="3"/>
  <c r="Q792" i="3" s="1"/>
  <c r="R792" i="3" s="1"/>
  <c r="S792" i="3" s="1"/>
  <c r="AC792" i="3"/>
  <c r="AD792" i="3"/>
  <c r="Z792" i="3"/>
  <c r="AA792" i="3"/>
  <c r="U791" i="3" l="1"/>
  <c r="Y790" i="3"/>
  <c r="T792" i="3"/>
  <c r="AG792" i="3" s="1"/>
  <c r="AH792" i="3" l="1"/>
  <c r="D792" i="3"/>
  <c r="E792" i="3"/>
  <c r="H792" i="3" s="1"/>
  <c r="F792" i="3" l="1"/>
  <c r="G792" i="3"/>
  <c r="K792" i="3"/>
  <c r="AE792" i="3" s="1"/>
  <c r="I792" i="3" l="1"/>
  <c r="J792" i="3"/>
  <c r="M792" i="3"/>
  <c r="N792" i="3" s="1"/>
  <c r="V792" i="3"/>
  <c r="A793" i="3"/>
  <c r="B793" i="3" s="1"/>
  <c r="L792" i="3" l="1"/>
  <c r="W792" i="3"/>
  <c r="AD793" i="3"/>
  <c r="AC793" i="3"/>
  <c r="Z793" i="3"/>
  <c r="P793" i="3"/>
  <c r="Q793" i="3" s="1"/>
  <c r="R793" i="3" s="1"/>
  <c r="S793" i="3" s="1"/>
  <c r="AA793" i="3"/>
  <c r="T793" i="3" l="1"/>
  <c r="U792" i="3"/>
  <c r="Y791" i="3"/>
  <c r="E793" i="3" l="1"/>
  <c r="H793" i="3" s="1"/>
  <c r="K793" i="3" s="1"/>
  <c r="AE793" i="3" s="1"/>
  <c r="D793" i="3"/>
  <c r="AG793" i="3"/>
  <c r="AH793" i="3"/>
  <c r="F793" i="3" l="1"/>
  <c r="G793" i="3"/>
  <c r="M793" i="3" s="1"/>
  <c r="N793" i="3" s="1"/>
  <c r="V793" i="3"/>
  <c r="A794" i="3"/>
  <c r="B794" i="3" s="1"/>
  <c r="I793" i="3" l="1"/>
  <c r="W793" i="3" s="1"/>
  <c r="J793" i="3"/>
  <c r="L793" i="3" s="1"/>
  <c r="Z794" i="3"/>
  <c r="AC794" i="3"/>
  <c r="P794" i="3"/>
  <c r="Q794" i="3" s="1"/>
  <c r="R794" i="3" s="1"/>
  <c r="S794" i="3" s="1"/>
  <c r="AA794" i="3"/>
  <c r="T794" i="3" l="1"/>
  <c r="AH794" i="3" s="1"/>
  <c r="U793" i="3"/>
  <c r="Y792" i="3"/>
  <c r="AG794" i="3" l="1"/>
  <c r="D794" i="3"/>
  <c r="E794" i="3"/>
  <c r="H794" i="3" s="1"/>
  <c r="F794" i="3" l="1"/>
  <c r="G794" i="3"/>
  <c r="K794" i="3"/>
  <c r="AE794" i="3" s="1"/>
  <c r="I794" i="3" l="1"/>
  <c r="J794" i="3"/>
  <c r="AD794" i="3" s="1"/>
  <c r="M794" i="3"/>
  <c r="N794" i="3" s="1"/>
  <c r="V794" i="3"/>
  <c r="A795" i="3"/>
  <c r="B795" i="3" s="1"/>
  <c r="L794" i="3" l="1"/>
  <c r="W794" i="3"/>
  <c r="P795" i="3"/>
  <c r="Q795" i="3" s="1"/>
  <c r="R795" i="3" s="1"/>
  <c r="S795" i="3" s="1"/>
  <c r="Z795" i="3"/>
  <c r="AA795" i="3"/>
  <c r="AC795" i="3"/>
  <c r="T795" i="3" l="1"/>
  <c r="U794" i="3"/>
  <c r="Y793" i="3"/>
  <c r="D795" i="3" l="1"/>
  <c r="G795" i="3" s="1"/>
  <c r="E795" i="3"/>
  <c r="H795" i="3" s="1"/>
  <c r="K795" i="3" s="1"/>
  <c r="AE795" i="3" s="1"/>
  <c r="AH795" i="3"/>
  <c r="AG795" i="3"/>
  <c r="F795" i="3" l="1"/>
  <c r="I795" i="3"/>
  <c r="J795" i="3"/>
  <c r="AD795" i="3" s="1"/>
  <c r="M795" i="3"/>
  <c r="N795" i="3" s="1"/>
  <c r="V795" i="3"/>
  <c r="A796" i="3"/>
  <c r="B796" i="3" s="1"/>
  <c r="W795" i="3" l="1"/>
  <c r="L795" i="3"/>
  <c r="Z796" i="3"/>
  <c r="AA796" i="3"/>
  <c r="AC796" i="3"/>
  <c r="P796" i="3"/>
  <c r="Q796" i="3" s="1"/>
  <c r="R796" i="3" s="1"/>
  <c r="S796" i="3" s="1"/>
  <c r="T796" i="3" l="1"/>
  <c r="U795" i="3"/>
  <c r="Y794" i="3"/>
  <c r="E796" i="3" l="1"/>
  <c r="H796" i="3" s="1"/>
  <c r="K796" i="3" s="1"/>
  <c r="AE796" i="3" s="1"/>
  <c r="AH796" i="3"/>
  <c r="AG796" i="3"/>
  <c r="D796" i="3"/>
  <c r="F796" i="3" l="1"/>
  <c r="G796" i="3"/>
  <c r="V796" i="3"/>
  <c r="A797" i="3"/>
  <c r="B797" i="3" s="1"/>
  <c r="I796" i="3" l="1"/>
  <c r="W796" i="3" s="1"/>
  <c r="J796" i="3"/>
  <c r="AD796" i="3" s="1"/>
  <c r="M796" i="3"/>
  <c r="N796" i="3" s="1"/>
  <c r="P797" i="3"/>
  <c r="Q797" i="3" s="1"/>
  <c r="R797" i="3" s="1"/>
  <c r="S797" i="3" s="1"/>
  <c r="AA797" i="3"/>
  <c r="AC797" i="3"/>
  <c r="Z797" i="3"/>
  <c r="T797" i="3" l="1"/>
  <c r="L796" i="3"/>
  <c r="AH797" i="3" l="1"/>
  <c r="AG797" i="3"/>
  <c r="U796" i="3"/>
  <c r="E797" i="3" s="1"/>
  <c r="H797" i="3" s="1"/>
  <c r="Y795" i="3"/>
  <c r="D797" i="3" l="1"/>
  <c r="G797" i="3" s="1"/>
  <c r="K797" i="3"/>
  <c r="AE797" i="3" s="1"/>
  <c r="F797" i="3" l="1"/>
  <c r="I797" i="3"/>
  <c r="J797" i="3"/>
  <c r="AD797" i="3" s="1"/>
  <c r="M797" i="3"/>
  <c r="N797" i="3" s="1"/>
  <c r="V797" i="3"/>
  <c r="A798" i="3"/>
  <c r="B798" i="3" s="1"/>
  <c r="W797" i="3" l="1"/>
  <c r="L797" i="3"/>
  <c r="Z798" i="3"/>
  <c r="AA798" i="3"/>
  <c r="P798" i="3"/>
  <c r="Q798" i="3" s="1"/>
  <c r="R798" i="3" s="1"/>
  <c r="S798" i="3" s="1"/>
  <c r="AC798" i="3"/>
  <c r="T798" i="3" l="1"/>
  <c r="U797" i="3"/>
  <c r="Y796" i="3"/>
  <c r="E798" i="3" l="1"/>
  <c r="H798" i="3" s="1"/>
  <c r="K798" i="3" s="1"/>
  <c r="AE798" i="3" s="1"/>
  <c r="D798" i="3"/>
  <c r="G798" i="3" s="1"/>
  <c r="AH798" i="3"/>
  <c r="AG798" i="3"/>
  <c r="F798" i="3" l="1"/>
  <c r="I798" i="3"/>
  <c r="J798" i="3"/>
  <c r="AD798" i="3" s="1"/>
  <c r="M798" i="3"/>
  <c r="N798" i="3" s="1"/>
  <c r="V798" i="3"/>
  <c r="A799" i="3"/>
  <c r="B799" i="3" s="1"/>
  <c r="W798" i="3" l="1"/>
  <c r="L798" i="3"/>
  <c r="Z799" i="3"/>
  <c r="P799" i="3"/>
  <c r="Q799" i="3" s="1"/>
  <c r="R799" i="3" s="1"/>
  <c r="S799" i="3" s="1"/>
  <c r="AC799" i="3"/>
  <c r="AA799" i="3"/>
  <c r="T799" i="3" l="1"/>
  <c r="AH799" i="3" s="1"/>
  <c r="U798" i="3"/>
  <c r="Y797" i="3"/>
  <c r="AG799" i="3" l="1"/>
  <c r="E799" i="3"/>
  <c r="H799" i="3" s="1"/>
  <c r="D799" i="3"/>
  <c r="K799" i="3" l="1"/>
  <c r="AE799" i="3" s="1"/>
  <c r="F799" i="3"/>
  <c r="G799" i="3"/>
  <c r="V799" i="3" l="1"/>
  <c r="A800" i="3"/>
  <c r="B800" i="3" s="1"/>
  <c r="I799" i="3"/>
  <c r="J799" i="3"/>
  <c r="AD799" i="3" s="1"/>
  <c r="M799" i="3"/>
  <c r="N799" i="3" s="1"/>
  <c r="W799" i="3" l="1"/>
  <c r="L799" i="3"/>
  <c r="AC800" i="3"/>
  <c r="AA800" i="3"/>
  <c r="P800" i="3"/>
  <c r="Q800" i="3" s="1"/>
  <c r="R800" i="3" s="1"/>
  <c r="S800" i="3" s="1"/>
  <c r="Z800" i="3"/>
  <c r="U799" i="3" l="1"/>
  <c r="Y798" i="3"/>
  <c r="T800" i="3"/>
  <c r="E800" i="3" l="1"/>
  <c r="H800" i="3" s="1"/>
  <c r="K800" i="3" s="1"/>
  <c r="AE800" i="3" s="1"/>
  <c r="D800" i="3"/>
  <c r="AG800" i="3"/>
  <c r="AH800" i="3"/>
  <c r="V800" i="3" l="1"/>
  <c r="A801" i="3"/>
  <c r="B801" i="3" s="1"/>
  <c r="F800" i="3"/>
  <c r="G800" i="3"/>
  <c r="I800" i="3" l="1"/>
  <c r="W800" i="3" s="1"/>
  <c r="J800" i="3"/>
  <c r="AD800" i="3" s="1"/>
  <c r="M800" i="3"/>
  <c r="N800" i="3" s="1"/>
  <c r="AA801" i="3"/>
  <c r="Z801" i="3"/>
  <c r="P801" i="3"/>
  <c r="Q801" i="3" s="1"/>
  <c r="R801" i="3" s="1"/>
  <c r="S801" i="3" s="1"/>
  <c r="AC801" i="3"/>
  <c r="L800" i="3" l="1"/>
  <c r="T801" i="3"/>
  <c r="AG801" i="3" l="1"/>
  <c r="AH801" i="3"/>
  <c r="U800" i="3"/>
  <c r="E801" i="3" s="1"/>
  <c r="H801" i="3" s="1"/>
  <c r="Y799" i="3"/>
  <c r="D801" i="3" l="1"/>
  <c r="G801" i="3" s="1"/>
  <c r="K801" i="3"/>
  <c r="AE801" i="3" s="1"/>
  <c r="F801" i="3" l="1"/>
  <c r="I801" i="3"/>
  <c r="J801" i="3"/>
  <c r="AD801" i="3" s="1"/>
  <c r="M801" i="3"/>
  <c r="N801" i="3" s="1"/>
  <c r="V801" i="3"/>
  <c r="A802" i="3"/>
  <c r="B802" i="3" s="1"/>
  <c r="W801" i="3" l="1"/>
  <c r="L801" i="3"/>
  <c r="Z802" i="3"/>
  <c r="P802" i="3"/>
  <c r="Q802" i="3" s="1"/>
  <c r="R802" i="3" s="1"/>
  <c r="S802" i="3" s="1"/>
  <c r="AA802" i="3"/>
  <c r="AC802" i="3"/>
  <c r="U801" i="3" l="1"/>
  <c r="Y800" i="3"/>
  <c r="T802" i="3"/>
  <c r="AG802" i="3" s="1"/>
  <c r="E802" i="3" l="1"/>
  <c r="H802" i="3" s="1"/>
  <c r="D802" i="3"/>
  <c r="AH802" i="3"/>
  <c r="K802" i="3" l="1"/>
  <c r="AE802" i="3" s="1"/>
  <c r="F802" i="3"/>
  <c r="G802" i="3"/>
  <c r="I802" i="3" l="1"/>
  <c r="J802" i="3"/>
  <c r="AD802" i="3" s="1"/>
  <c r="M802" i="3"/>
  <c r="N802" i="3" s="1"/>
  <c r="V802" i="3"/>
  <c r="A803" i="3"/>
  <c r="B803" i="3" s="1"/>
  <c r="L802" i="3" l="1"/>
  <c r="W802" i="3"/>
  <c r="Z803" i="3"/>
  <c r="AA803" i="3"/>
  <c r="AC803" i="3"/>
  <c r="P803" i="3"/>
  <c r="Q803" i="3" s="1"/>
  <c r="R803" i="3" s="1"/>
  <c r="S803" i="3" s="1"/>
  <c r="U802" i="3" l="1"/>
  <c r="Y801" i="3"/>
  <c r="T803" i="3"/>
  <c r="AG803" i="3" s="1"/>
  <c r="AH803" i="3" l="1"/>
  <c r="D803" i="3"/>
  <c r="E803" i="3"/>
  <c r="H803" i="3" s="1"/>
  <c r="F803" i="3" l="1"/>
  <c r="G803" i="3"/>
  <c r="K803" i="3"/>
  <c r="AE803" i="3" s="1"/>
  <c r="V803" i="3" l="1"/>
  <c r="A804" i="3"/>
  <c r="B804" i="3" s="1"/>
  <c r="I803" i="3"/>
  <c r="J803" i="3"/>
  <c r="AD803" i="3" s="1"/>
  <c r="M803" i="3"/>
  <c r="N803" i="3" s="1"/>
  <c r="L803" i="3" l="1"/>
  <c r="W803" i="3"/>
  <c r="AC804" i="3"/>
  <c r="P804" i="3"/>
  <c r="Q804" i="3" s="1"/>
  <c r="R804" i="3" s="1"/>
  <c r="S804" i="3" s="1"/>
  <c r="AA804" i="3"/>
  <c r="Z804" i="3"/>
  <c r="U803" i="3" l="1"/>
  <c r="Y802" i="3"/>
  <c r="T804" i="3"/>
  <c r="AH804" i="3" s="1"/>
  <c r="D804" i="3" l="1"/>
  <c r="G804" i="3" s="1"/>
  <c r="AG804" i="3"/>
  <c r="E804" i="3"/>
  <c r="H804" i="3" s="1"/>
  <c r="K804" i="3" s="1"/>
  <c r="AE804" i="3" s="1"/>
  <c r="F804" i="3" l="1"/>
  <c r="I804" i="3"/>
  <c r="J804" i="3"/>
  <c r="AD804" i="3" s="1"/>
  <c r="M804" i="3"/>
  <c r="N804" i="3" s="1"/>
  <c r="V804" i="3"/>
  <c r="A805" i="3"/>
  <c r="B805" i="3" s="1"/>
  <c r="W804" i="3" l="1"/>
  <c r="L804" i="3"/>
  <c r="Z805" i="3"/>
  <c r="P805" i="3"/>
  <c r="Q805" i="3" s="1"/>
  <c r="R805" i="3" s="1"/>
  <c r="S805" i="3" s="1"/>
  <c r="AC805" i="3"/>
  <c r="AA805" i="3"/>
  <c r="T805" i="3" l="1"/>
  <c r="AH805" i="3" s="1"/>
  <c r="U804" i="3"/>
  <c r="Y803" i="3"/>
  <c r="E805" i="3" l="1"/>
  <c r="H805" i="3" s="1"/>
  <c r="AG805" i="3"/>
  <c r="D805" i="3"/>
  <c r="K805" i="3" l="1"/>
  <c r="AE805" i="3" s="1"/>
  <c r="F805" i="3"/>
  <c r="G805" i="3"/>
  <c r="I805" i="3" l="1"/>
  <c r="J805" i="3"/>
  <c r="AD805" i="3" s="1"/>
  <c r="M805" i="3"/>
  <c r="N805" i="3" s="1"/>
  <c r="V805" i="3"/>
  <c r="A806" i="3"/>
  <c r="B806" i="3" s="1"/>
  <c r="W805" i="3" l="1"/>
  <c r="L805" i="3"/>
  <c r="Z806" i="3"/>
  <c r="AA806" i="3"/>
  <c r="P806" i="3"/>
  <c r="Q806" i="3" s="1"/>
  <c r="R806" i="3" s="1"/>
  <c r="S806" i="3" s="1"/>
  <c r="AC806" i="3"/>
  <c r="T806" i="3" l="1"/>
  <c r="U805" i="3"/>
  <c r="Y804" i="3"/>
  <c r="D806" i="3" l="1"/>
  <c r="G806" i="3" s="1"/>
  <c r="AH806" i="3"/>
  <c r="AG806" i="3"/>
  <c r="E806" i="3"/>
  <c r="H806" i="3" s="1"/>
  <c r="K806" i="3" l="1"/>
  <c r="AE806" i="3" s="1"/>
  <c r="I806" i="3"/>
  <c r="J806" i="3"/>
  <c r="AD806" i="3" s="1"/>
  <c r="M806" i="3"/>
  <c r="N806" i="3" s="1"/>
  <c r="F806" i="3"/>
  <c r="L806" i="3" l="1"/>
  <c r="V806" i="3"/>
  <c r="W806" i="3" s="1"/>
  <c r="A807" i="3"/>
  <c r="B807" i="3" s="1"/>
  <c r="AC807" i="3" l="1"/>
  <c r="P807" i="3"/>
  <c r="Q807" i="3" s="1"/>
  <c r="R807" i="3" s="1"/>
  <c r="S807" i="3" s="1"/>
  <c r="AA807" i="3"/>
  <c r="Z807" i="3"/>
  <c r="U806" i="3"/>
  <c r="Y805" i="3"/>
  <c r="T807" i="3" l="1"/>
  <c r="AH807" i="3" l="1"/>
  <c r="AG807" i="3"/>
  <c r="E807" i="3"/>
  <c r="H807" i="3" s="1"/>
  <c r="D807" i="3"/>
  <c r="K807" i="3" l="1"/>
  <c r="AE807" i="3" s="1"/>
  <c r="F807" i="3"/>
  <c r="G807" i="3"/>
  <c r="I807" i="3" l="1"/>
  <c r="J807" i="3"/>
  <c r="AD807" i="3" s="1"/>
  <c r="M807" i="3"/>
  <c r="N807" i="3" s="1"/>
  <c r="V807" i="3"/>
  <c r="A808" i="3"/>
  <c r="B808" i="3" s="1"/>
  <c r="W807" i="3" l="1"/>
  <c r="L807" i="3"/>
  <c r="P808" i="3"/>
  <c r="Q808" i="3" s="1"/>
  <c r="R808" i="3" s="1"/>
  <c r="S808" i="3" s="1"/>
  <c r="AA808" i="3"/>
  <c r="Z808" i="3"/>
  <c r="AC808" i="3"/>
  <c r="U807" i="3" l="1"/>
  <c r="Y806" i="3"/>
  <c r="T808" i="3"/>
  <c r="AH808" i="3" s="1"/>
  <c r="D808" i="3" l="1"/>
  <c r="G808" i="3" s="1"/>
  <c r="E808" i="3"/>
  <c r="H808" i="3" s="1"/>
  <c r="K808" i="3" s="1"/>
  <c r="AE808" i="3" s="1"/>
  <c r="AG808" i="3"/>
  <c r="F808" i="3" l="1"/>
  <c r="I808" i="3"/>
  <c r="J808" i="3"/>
  <c r="AD808" i="3" s="1"/>
  <c r="M808" i="3"/>
  <c r="N808" i="3" s="1"/>
  <c r="V808" i="3"/>
  <c r="A809" i="3"/>
  <c r="B809" i="3" s="1"/>
  <c r="W808" i="3" l="1"/>
  <c r="AC809" i="3"/>
  <c r="Z809" i="3"/>
  <c r="AA809" i="3"/>
  <c r="P809" i="3"/>
  <c r="Q809" i="3" s="1"/>
  <c r="R809" i="3" s="1"/>
  <c r="S809" i="3" s="1"/>
  <c r="L808" i="3"/>
  <c r="T809" i="3" l="1"/>
  <c r="U808" i="3"/>
  <c r="Y807" i="3"/>
  <c r="E809" i="3" l="1"/>
  <c r="H809" i="3" s="1"/>
  <c r="K809" i="3" s="1"/>
  <c r="AE809" i="3" s="1"/>
  <c r="AG809" i="3"/>
  <c r="D809" i="3"/>
  <c r="AH809" i="3"/>
  <c r="V809" i="3" l="1"/>
  <c r="A810" i="3"/>
  <c r="B810" i="3" s="1"/>
  <c r="F809" i="3"/>
  <c r="G809" i="3"/>
  <c r="I809" i="3" l="1"/>
  <c r="W809" i="3" s="1"/>
  <c r="J809" i="3"/>
  <c r="AD809" i="3" s="1"/>
  <c r="M809" i="3"/>
  <c r="N809" i="3" s="1"/>
  <c r="P810" i="3"/>
  <c r="Q810" i="3" s="1"/>
  <c r="R810" i="3" s="1"/>
  <c r="S810" i="3" s="1"/>
  <c r="AA810" i="3"/>
  <c r="AC810" i="3"/>
  <c r="Z810" i="3"/>
  <c r="T810" i="3" l="1"/>
  <c r="L809" i="3"/>
  <c r="AH810" i="3" l="1"/>
  <c r="AG810" i="3"/>
  <c r="U809" i="3"/>
  <c r="E810" i="3" s="1"/>
  <c r="H810" i="3" s="1"/>
  <c r="Y808" i="3"/>
  <c r="D810" i="3" l="1"/>
  <c r="G810" i="3" s="1"/>
  <c r="K810" i="3"/>
  <c r="AE810" i="3" s="1"/>
  <c r="F810" i="3" l="1"/>
  <c r="I810" i="3"/>
  <c r="J810" i="3"/>
  <c r="AD810" i="3" s="1"/>
  <c r="M810" i="3"/>
  <c r="N810" i="3" s="1"/>
  <c r="V810" i="3"/>
  <c r="A811" i="3"/>
  <c r="B811" i="3" s="1"/>
  <c r="L810" i="3" l="1"/>
  <c r="W810" i="3"/>
  <c r="AA811" i="3"/>
  <c r="P811" i="3"/>
  <c r="Q811" i="3" s="1"/>
  <c r="R811" i="3" s="1"/>
  <c r="S811" i="3" s="1"/>
  <c r="Z811" i="3"/>
  <c r="AC811" i="3"/>
  <c r="U810" i="3" l="1"/>
  <c r="Y809" i="3"/>
  <c r="T811" i="3"/>
  <c r="E811" i="3" l="1"/>
  <c r="H811" i="3" s="1"/>
  <c r="K811" i="3" s="1"/>
  <c r="AE811" i="3" s="1"/>
  <c r="AH811" i="3"/>
  <c r="AG811" i="3"/>
  <c r="D811" i="3"/>
  <c r="V811" i="3" l="1"/>
  <c r="A812" i="3"/>
  <c r="B812" i="3" s="1"/>
  <c r="F811" i="3"/>
  <c r="G811" i="3"/>
  <c r="I811" i="3" l="1"/>
  <c r="W811" i="3" s="1"/>
  <c r="J811" i="3"/>
  <c r="AD811" i="3" s="1"/>
  <c r="M811" i="3"/>
  <c r="N811" i="3" s="1"/>
  <c r="Z812" i="3"/>
  <c r="AA812" i="3"/>
  <c r="P812" i="3"/>
  <c r="Q812" i="3" s="1"/>
  <c r="R812" i="3" s="1"/>
  <c r="S812" i="3" s="1"/>
  <c r="AC812" i="3"/>
  <c r="T812" i="3" l="1"/>
  <c r="L811" i="3"/>
  <c r="AG812" i="3" l="1"/>
  <c r="U811" i="3"/>
  <c r="D812" i="3" s="1"/>
  <c r="AH812" i="3"/>
  <c r="Y810" i="3"/>
  <c r="G812" i="3" l="1"/>
  <c r="E812" i="3"/>
  <c r="H812" i="3" s="1"/>
  <c r="I812" i="3" l="1"/>
  <c r="J812" i="3"/>
  <c r="AD812" i="3" s="1"/>
  <c r="M812" i="3"/>
  <c r="N812" i="3" s="1"/>
  <c r="F812" i="3"/>
  <c r="K812" i="3"/>
  <c r="AE812" i="3" s="1"/>
  <c r="L812" i="3" l="1"/>
  <c r="V812" i="3"/>
  <c r="W812" i="3" s="1"/>
  <c r="A813" i="3"/>
  <c r="B813" i="3" s="1"/>
  <c r="U812" i="3" l="1"/>
  <c r="Y811" i="3"/>
  <c r="AA813" i="3"/>
  <c r="P813" i="3"/>
  <c r="Q813" i="3" s="1"/>
  <c r="R813" i="3" s="1"/>
  <c r="S813" i="3" s="1"/>
  <c r="Z813" i="3"/>
  <c r="AC813" i="3"/>
  <c r="T813" i="3" l="1"/>
  <c r="AG813" i="3" s="1"/>
  <c r="AH813" i="3" l="1"/>
  <c r="D813" i="3"/>
  <c r="E813" i="3"/>
  <c r="H813" i="3" s="1"/>
  <c r="F813" i="3" l="1"/>
  <c r="G813" i="3"/>
  <c r="K813" i="3"/>
  <c r="AE813" i="3" s="1"/>
  <c r="I813" i="3" l="1"/>
  <c r="J813" i="3"/>
  <c r="AD813" i="3" s="1"/>
  <c r="M813" i="3"/>
  <c r="N813" i="3" s="1"/>
  <c r="V813" i="3"/>
  <c r="A814" i="3"/>
  <c r="B814" i="3" s="1"/>
  <c r="W813" i="3" l="1"/>
  <c r="L813" i="3"/>
  <c r="P814" i="3"/>
  <c r="Q814" i="3" s="1"/>
  <c r="R814" i="3" s="1"/>
  <c r="S814" i="3" s="1"/>
  <c r="AA814" i="3"/>
  <c r="Z814" i="3"/>
  <c r="AC814" i="3"/>
  <c r="U813" i="3" l="1"/>
  <c r="Y812" i="3"/>
  <c r="T814" i="3"/>
  <c r="D814" i="3" l="1"/>
  <c r="G814" i="3" s="1"/>
  <c r="E814" i="3"/>
  <c r="H814" i="3" s="1"/>
  <c r="K814" i="3" s="1"/>
  <c r="AE814" i="3" s="1"/>
  <c r="AH814" i="3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L814" i="3"/>
  <c r="AA815" i="3"/>
  <c r="AC815" i="3"/>
  <c r="Z815" i="3"/>
  <c r="P815" i="3"/>
  <c r="Q815" i="3" s="1"/>
  <c r="R815" i="3" s="1"/>
  <c r="S815" i="3" s="1"/>
  <c r="T815" i="3" l="1"/>
  <c r="AH815" i="3" s="1"/>
  <c r="U814" i="3"/>
  <c r="Y813" i="3"/>
  <c r="AG815" i="3" l="1"/>
  <c r="E815" i="3"/>
  <c r="H815" i="3" s="1"/>
  <c r="D815" i="3"/>
  <c r="K815" i="3" l="1"/>
  <c r="AE815" i="3" s="1"/>
  <c r="F815" i="3"/>
  <c r="G815" i="3"/>
  <c r="V815" i="3" l="1"/>
  <c r="A816" i="3"/>
  <c r="B816" i="3" s="1"/>
  <c r="I815" i="3"/>
  <c r="J815" i="3"/>
  <c r="AD815" i="3" s="1"/>
  <c r="M815" i="3"/>
  <c r="N815" i="3" s="1"/>
  <c r="W815" i="3" l="1"/>
  <c r="L815" i="3"/>
  <c r="P816" i="3"/>
  <c r="Q816" i="3" s="1"/>
  <c r="R816" i="3" s="1"/>
  <c r="S816" i="3" s="1"/>
  <c r="AC816" i="3"/>
  <c r="AA816" i="3"/>
  <c r="Z816" i="3"/>
  <c r="T816" i="3" l="1"/>
  <c r="U815" i="3"/>
  <c r="Y814" i="3"/>
  <c r="E816" i="3" l="1"/>
  <c r="H816" i="3" s="1"/>
  <c r="K816" i="3" s="1"/>
  <c r="AE816" i="3" s="1"/>
  <c r="D816" i="3"/>
  <c r="G816" i="3" s="1"/>
  <c r="AG816" i="3"/>
  <c r="AH816" i="3"/>
  <c r="F816" i="3" l="1"/>
  <c r="I816" i="3"/>
  <c r="J816" i="3"/>
  <c r="AD816" i="3" s="1"/>
  <c r="M816" i="3"/>
  <c r="N816" i="3" s="1"/>
  <c r="V816" i="3"/>
  <c r="A817" i="3"/>
  <c r="B817" i="3" s="1"/>
  <c r="W816" i="3" l="1"/>
  <c r="L816" i="3"/>
  <c r="P817" i="3"/>
  <c r="Q817" i="3" s="1"/>
  <c r="R817" i="3" s="1"/>
  <c r="S817" i="3" s="1"/>
  <c r="Z817" i="3"/>
  <c r="AA817" i="3"/>
  <c r="AC817" i="3"/>
  <c r="U816" i="3" l="1"/>
  <c r="Y815" i="3"/>
  <c r="T817" i="3"/>
  <c r="AG817" i="3" s="1"/>
  <c r="E817" i="3" l="1"/>
  <c r="H817" i="3" s="1"/>
  <c r="AH817" i="3"/>
  <c r="D817" i="3"/>
  <c r="F817" i="3" l="1"/>
  <c r="G817" i="3"/>
  <c r="K817" i="3"/>
  <c r="AE817" i="3" s="1"/>
  <c r="V817" i="3" l="1"/>
  <c r="A818" i="3"/>
  <c r="B818" i="3" s="1"/>
  <c r="I817" i="3"/>
  <c r="J817" i="3"/>
  <c r="AD817" i="3" s="1"/>
  <c r="M817" i="3"/>
  <c r="N817" i="3" s="1"/>
  <c r="W817" i="3" l="1"/>
  <c r="L817" i="3"/>
  <c r="Z818" i="3"/>
  <c r="AA818" i="3"/>
  <c r="P818" i="3"/>
  <c r="Q818" i="3" s="1"/>
  <c r="R818" i="3" s="1"/>
  <c r="S818" i="3" s="1"/>
  <c r="AC818" i="3"/>
  <c r="T818" i="3" l="1"/>
  <c r="U817" i="3"/>
  <c r="Y816" i="3"/>
  <c r="E818" i="3" l="1"/>
  <c r="H818" i="3" s="1"/>
  <c r="K818" i="3" s="1"/>
  <c r="AE818" i="3" s="1"/>
  <c r="D818" i="3"/>
  <c r="G818" i="3" s="1"/>
  <c r="AH818" i="3"/>
  <c r="AG818" i="3"/>
  <c r="F818" i="3" l="1"/>
  <c r="V818" i="3"/>
  <c r="A819" i="3"/>
  <c r="B819" i="3" s="1"/>
  <c r="I818" i="3"/>
  <c r="J818" i="3"/>
  <c r="AD818" i="3" s="1"/>
  <c r="M818" i="3"/>
  <c r="N818" i="3" s="1"/>
  <c r="W818" i="3" l="1"/>
  <c r="L818" i="3"/>
  <c r="AC819" i="3"/>
  <c r="AA819" i="3"/>
  <c r="Z819" i="3"/>
  <c r="P819" i="3"/>
  <c r="Q819" i="3" s="1"/>
  <c r="R819" i="3" s="1"/>
  <c r="S819" i="3" s="1"/>
  <c r="T819" i="3" l="1"/>
  <c r="AG819" i="3" s="1"/>
  <c r="U818" i="3"/>
  <c r="Y817" i="3"/>
  <c r="AH819" i="3" l="1"/>
  <c r="E819" i="3"/>
  <c r="H819" i="3" s="1"/>
  <c r="K819" i="3" s="1"/>
  <c r="AE819" i="3" s="1"/>
  <c r="D819" i="3"/>
  <c r="V819" i="3" l="1"/>
  <c r="A820" i="3"/>
  <c r="B820" i="3" s="1"/>
  <c r="F819" i="3"/>
  <c r="G819" i="3"/>
  <c r="I819" i="3" l="1"/>
  <c r="W819" i="3" s="1"/>
  <c r="J819" i="3"/>
  <c r="AD819" i="3" s="1"/>
  <c r="M819" i="3"/>
  <c r="N819" i="3" s="1"/>
  <c r="Z820" i="3"/>
  <c r="AA820" i="3"/>
  <c r="P820" i="3"/>
  <c r="Q820" i="3" s="1"/>
  <c r="R820" i="3" s="1"/>
  <c r="S820" i="3" s="1"/>
  <c r="AC820" i="3"/>
  <c r="T820" i="3" l="1"/>
  <c r="L819" i="3"/>
  <c r="U819" i="3" l="1"/>
  <c r="E820" i="3" s="1"/>
  <c r="H820" i="3" s="1"/>
  <c r="AG820" i="3"/>
  <c r="AH820" i="3"/>
  <c r="Y818" i="3"/>
  <c r="D820" i="3" l="1"/>
  <c r="G820" i="3" s="1"/>
  <c r="K820" i="3"/>
  <c r="AE820" i="3" s="1"/>
  <c r="F820" i="3" l="1"/>
  <c r="I820" i="3"/>
  <c r="J820" i="3"/>
  <c r="AD820" i="3" s="1"/>
  <c r="M820" i="3"/>
  <c r="N820" i="3" s="1"/>
  <c r="V820" i="3"/>
  <c r="A821" i="3"/>
  <c r="B821" i="3" s="1"/>
  <c r="W820" i="3" l="1"/>
  <c r="L820" i="3"/>
  <c r="P821" i="3"/>
  <c r="Q821" i="3" s="1"/>
  <c r="R821" i="3" s="1"/>
  <c r="S821" i="3" s="1"/>
  <c r="AA821" i="3"/>
  <c r="Z821" i="3"/>
  <c r="AC821" i="3"/>
  <c r="U820" i="3" l="1"/>
  <c r="Y819" i="3"/>
  <c r="T821" i="3"/>
  <c r="AH821" i="3" s="1"/>
  <c r="AG821" i="3" l="1"/>
  <c r="D821" i="3"/>
  <c r="G821" i="3" s="1"/>
  <c r="E821" i="3"/>
  <c r="H821" i="3" s="1"/>
  <c r="F821" i="3" l="1"/>
  <c r="K821" i="3"/>
  <c r="AE821" i="3" s="1"/>
  <c r="I821" i="3"/>
  <c r="J821" i="3"/>
  <c r="AD821" i="3" s="1"/>
  <c r="M821" i="3"/>
  <c r="N821" i="3" s="1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D822" i="3" l="1"/>
  <c r="E822" i="3"/>
  <c r="H822" i="3" s="1"/>
  <c r="AG822" i="3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L822" i="3"/>
  <c r="AC823" i="3"/>
  <c r="Z823" i="3"/>
  <c r="P823" i="3"/>
  <c r="Q823" i="3" s="1"/>
  <c r="R823" i="3" s="1"/>
  <c r="S823" i="3" s="1"/>
  <c r="AA823" i="3"/>
  <c r="U822" i="3" l="1"/>
  <c r="Y821" i="3"/>
  <c r="T823" i="3"/>
  <c r="D823" i="3" l="1"/>
  <c r="G823" i="3" s="1"/>
  <c r="E823" i="3"/>
  <c r="H823" i="3" s="1"/>
  <c r="AG823" i="3"/>
  <c r="AH823" i="3"/>
  <c r="F823" i="3" l="1"/>
  <c r="I823" i="3"/>
  <c r="J823" i="3"/>
  <c r="AD823" i="3" s="1"/>
  <c r="M823" i="3"/>
  <c r="N823" i="3" s="1"/>
  <c r="K823" i="3"/>
  <c r="AE823" i="3" s="1"/>
  <c r="V823" i="3" l="1"/>
  <c r="W823" i="3" s="1"/>
  <c r="A824" i="3"/>
  <c r="B824" i="3" s="1"/>
  <c r="L823" i="3"/>
  <c r="U823" i="3" l="1"/>
  <c r="Y822" i="3"/>
  <c r="Z824" i="3"/>
  <c r="P824" i="3"/>
  <c r="Q824" i="3" s="1"/>
  <c r="R824" i="3" s="1"/>
  <c r="S824" i="3" s="1"/>
  <c r="AC824" i="3"/>
  <c r="AA824" i="3"/>
  <c r="T824" i="3" l="1"/>
  <c r="D824" i="3" s="1"/>
  <c r="AH824" i="3" l="1"/>
  <c r="E824" i="3"/>
  <c r="H824" i="3" s="1"/>
  <c r="K824" i="3" s="1"/>
  <c r="AE824" i="3" s="1"/>
  <c r="AG824" i="3"/>
  <c r="G824" i="3"/>
  <c r="F824" i="3" l="1"/>
  <c r="V824" i="3"/>
  <c r="A825" i="3"/>
  <c r="B825" i="3" s="1"/>
  <c r="I824" i="3"/>
  <c r="J824" i="3"/>
  <c r="AD824" i="3" s="1"/>
  <c r="M824" i="3"/>
  <c r="N824" i="3" s="1"/>
  <c r="L824" i="3" l="1"/>
  <c r="W824" i="3"/>
  <c r="Z825" i="3"/>
  <c r="AC825" i="3"/>
  <c r="P825" i="3"/>
  <c r="Q825" i="3" s="1"/>
  <c r="R825" i="3" s="1"/>
  <c r="S825" i="3" s="1"/>
  <c r="AA825" i="3"/>
  <c r="AD825" i="3"/>
  <c r="T825" i="3" l="1"/>
  <c r="AG825" i="3" s="1"/>
  <c r="U824" i="3"/>
  <c r="Y823" i="3"/>
  <c r="D825" i="3" l="1"/>
  <c r="E825" i="3"/>
  <c r="H825" i="3" s="1"/>
  <c r="AH825" i="3"/>
  <c r="F825" i="3" l="1"/>
  <c r="G825" i="3"/>
  <c r="K825" i="3"/>
  <c r="AE825" i="3" s="1"/>
  <c r="I825" i="3" l="1"/>
  <c r="J825" i="3"/>
  <c r="M825" i="3"/>
  <c r="N825" i="3" s="1"/>
  <c r="V825" i="3"/>
  <c r="A826" i="3"/>
  <c r="B826" i="3" s="1"/>
  <c r="W825" i="3" l="1"/>
  <c r="L825" i="3"/>
  <c r="P826" i="3"/>
  <c r="Q826" i="3" s="1"/>
  <c r="R826" i="3" s="1"/>
  <c r="S826" i="3" s="1"/>
  <c r="Z826" i="3"/>
  <c r="AA826" i="3"/>
  <c r="AD826" i="3"/>
  <c r="AC826" i="3"/>
  <c r="U825" i="3" l="1"/>
  <c r="Y824" i="3"/>
  <c r="T826" i="3"/>
  <c r="AG826" i="3" s="1"/>
  <c r="E826" i="3" l="1"/>
  <c r="H826" i="3" s="1"/>
  <c r="K826" i="3" s="1"/>
  <c r="AE826" i="3" s="1"/>
  <c r="AH826" i="3"/>
  <c r="D826" i="3"/>
  <c r="G826" i="3" s="1"/>
  <c r="F826" i="3" l="1"/>
  <c r="I826" i="3"/>
  <c r="J826" i="3"/>
  <c r="M826" i="3"/>
  <c r="N826" i="3" s="1"/>
  <c r="V826" i="3"/>
  <c r="A827" i="3"/>
  <c r="B827" i="3" s="1"/>
  <c r="W826" i="3" l="1"/>
  <c r="L826" i="3"/>
  <c r="Z827" i="3"/>
  <c r="AA827" i="3"/>
  <c r="AD827" i="3"/>
  <c r="P827" i="3"/>
  <c r="Q827" i="3" s="1"/>
  <c r="R827" i="3" s="1"/>
  <c r="S827" i="3" s="1"/>
  <c r="AC827" i="3"/>
  <c r="U826" i="3" l="1"/>
  <c r="Y825" i="3"/>
  <c r="T827" i="3"/>
  <c r="AH827" i="3" s="1"/>
  <c r="D827" i="3" l="1"/>
  <c r="G827" i="3" s="1"/>
  <c r="E827" i="3"/>
  <c r="H827" i="3" s="1"/>
  <c r="K827" i="3" s="1"/>
  <c r="AE827" i="3" s="1"/>
  <c r="AG827" i="3"/>
  <c r="F827" i="3" l="1"/>
  <c r="V827" i="3"/>
  <c r="A828" i="3"/>
  <c r="B828" i="3" s="1"/>
  <c r="I827" i="3"/>
  <c r="J827" i="3"/>
  <c r="M827" i="3"/>
  <c r="N827" i="3" s="1"/>
  <c r="W827" i="3" l="1"/>
  <c r="L827" i="3"/>
  <c r="AD828" i="3"/>
  <c r="P828" i="3"/>
  <c r="Q828" i="3" s="1"/>
  <c r="R828" i="3" s="1"/>
  <c r="S828" i="3" s="1"/>
  <c r="AC828" i="3"/>
  <c r="AA828" i="3"/>
  <c r="Z828" i="3"/>
  <c r="U827" i="3" l="1"/>
  <c r="Y826" i="3"/>
  <c r="T828" i="3"/>
  <c r="D828" i="3" l="1"/>
  <c r="G828" i="3" s="1"/>
  <c r="AG828" i="3"/>
  <c r="AH828" i="3"/>
  <c r="E828" i="3"/>
  <c r="H828" i="3" s="1"/>
  <c r="F828" i="3" l="1"/>
  <c r="I828" i="3"/>
  <c r="J828" i="3"/>
  <c r="M828" i="3"/>
  <c r="N828" i="3" s="1"/>
  <c r="K828" i="3"/>
  <c r="AE828" i="3" s="1"/>
  <c r="V828" i="3" l="1"/>
  <c r="W828" i="3" s="1"/>
  <c r="A829" i="3"/>
  <c r="B829" i="3" s="1"/>
  <c r="L828" i="3"/>
  <c r="U828" i="3" l="1"/>
  <c r="Y827" i="3"/>
  <c r="AC829" i="3"/>
  <c r="Z829" i="3"/>
  <c r="AA829" i="3"/>
  <c r="P829" i="3"/>
  <c r="Q829" i="3" s="1"/>
  <c r="R829" i="3" s="1"/>
  <c r="S829" i="3" s="1"/>
  <c r="AD829" i="3"/>
  <c r="T829" i="3" l="1"/>
  <c r="E829" i="3" s="1"/>
  <c r="H829" i="3" s="1"/>
  <c r="AH829" i="3" l="1"/>
  <c r="D829" i="3"/>
  <c r="G829" i="3" s="1"/>
  <c r="AG829" i="3"/>
  <c r="K829" i="3"/>
  <c r="AE829" i="3" s="1"/>
  <c r="F829" i="3" l="1"/>
  <c r="I829" i="3"/>
  <c r="J829" i="3"/>
  <c r="M829" i="3"/>
  <c r="N829" i="3" s="1"/>
  <c r="V829" i="3"/>
  <c r="A830" i="3"/>
  <c r="B830" i="3" s="1"/>
  <c r="W829" i="3" l="1"/>
  <c r="L829" i="3"/>
  <c r="AA830" i="3"/>
  <c r="Z830" i="3"/>
  <c r="AC830" i="3"/>
  <c r="AD830" i="3"/>
  <c r="P830" i="3"/>
  <c r="Q830" i="3" s="1"/>
  <c r="R830" i="3" s="1"/>
  <c r="S830" i="3" s="1"/>
  <c r="U829" i="3" l="1"/>
  <c r="Y828" i="3"/>
  <c r="T830" i="3"/>
  <c r="D830" i="3" l="1"/>
  <c r="G830" i="3" s="1"/>
  <c r="E830" i="3"/>
  <c r="H830" i="3" s="1"/>
  <c r="AG830" i="3"/>
  <c r="AH830" i="3"/>
  <c r="F830" i="3" l="1"/>
  <c r="I830" i="3"/>
  <c r="J830" i="3"/>
  <c r="M830" i="3"/>
  <c r="N830" i="3" s="1"/>
  <c r="K830" i="3"/>
  <c r="AE830" i="3" s="1"/>
  <c r="V830" i="3" l="1"/>
  <c r="W830" i="3" s="1"/>
  <c r="A831" i="3"/>
  <c r="B831" i="3" s="1"/>
  <c r="L830" i="3"/>
  <c r="U830" i="3" l="1"/>
  <c r="Y829" i="3"/>
  <c r="Z831" i="3"/>
  <c r="P831" i="3"/>
  <c r="Q831" i="3" s="1"/>
  <c r="R831" i="3" s="1"/>
  <c r="S831" i="3" s="1"/>
  <c r="AA831" i="3"/>
  <c r="AD831" i="3"/>
  <c r="AC831" i="3"/>
  <c r="T831" i="3" l="1"/>
  <c r="AH831" i="3" s="1"/>
  <c r="E831" i="3" l="1"/>
  <c r="H831" i="3" s="1"/>
  <c r="K831" i="3" s="1"/>
  <c r="AE831" i="3" s="1"/>
  <c r="D831" i="3"/>
  <c r="G831" i="3" s="1"/>
  <c r="AG831" i="3"/>
  <c r="F831" i="3" l="1"/>
  <c r="I831" i="3"/>
  <c r="J831" i="3"/>
  <c r="M831" i="3"/>
  <c r="N831" i="3" s="1"/>
  <c r="V831" i="3"/>
  <c r="A832" i="3"/>
  <c r="B832" i="3" s="1"/>
  <c r="W831" i="3" l="1"/>
  <c r="L831" i="3"/>
  <c r="P832" i="3"/>
  <c r="Q832" i="3" s="1"/>
  <c r="R832" i="3" s="1"/>
  <c r="S832" i="3" s="1"/>
  <c r="AC832" i="3"/>
  <c r="AD832" i="3"/>
  <c r="Z832" i="3"/>
  <c r="AA832" i="3"/>
  <c r="U831" i="3" l="1"/>
  <c r="Y830" i="3"/>
  <c r="T832" i="3"/>
  <c r="AH832" i="3" s="1"/>
  <c r="D832" i="3" l="1"/>
  <c r="G832" i="3" s="1"/>
  <c r="AG832" i="3"/>
  <c r="E832" i="3"/>
  <c r="H832" i="3" s="1"/>
  <c r="K832" i="3" l="1"/>
  <c r="AE832" i="3" s="1"/>
  <c r="I832" i="3"/>
  <c r="J832" i="3"/>
  <c r="M832" i="3"/>
  <c r="N832" i="3" s="1"/>
  <c r="F832" i="3"/>
  <c r="L832" i="3" l="1"/>
  <c r="V832" i="3"/>
  <c r="W832" i="3" s="1"/>
  <c r="A833" i="3"/>
  <c r="B833" i="3" s="1"/>
  <c r="U832" i="3" l="1"/>
  <c r="Y831" i="3"/>
  <c r="Z833" i="3"/>
  <c r="AC833" i="3"/>
  <c r="P833" i="3"/>
  <c r="Q833" i="3" s="1"/>
  <c r="R833" i="3" s="1"/>
  <c r="S833" i="3" s="1"/>
  <c r="AD833" i="3"/>
  <c r="AA833" i="3"/>
  <c r="T833" i="3" l="1"/>
  <c r="AH833" i="3" s="1"/>
  <c r="E833" i="3" l="1"/>
  <c r="H833" i="3" s="1"/>
  <c r="K833" i="3" s="1"/>
  <c r="AE833" i="3" s="1"/>
  <c r="AG833" i="3"/>
  <c r="D833" i="3"/>
  <c r="G833" i="3" s="1"/>
  <c r="F833" i="3" l="1"/>
  <c r="I833" i="3"/>
  <c r="J833" i="3"/>
  <c r="M833" i="3"/>
  <c r="N833" i="3" s="1"/>
  <c r="V833" i="3"/>
  <c r="A834" i="3"/>
  <c r="B834" i="3" s="1"/>
  <c r="L833" i="3" l="1"/>
  <c r="W833" i="3"/>
  <c r="AC834" i="3"/>
  <c r="P834" i="3"/>
  <c r="Q834" i="3" s="1"/>
  <c r="R834" i="3" s="1"/>
  <c r="S834" i="3" s="1"/>
  <c r="AA834" i="3"/>
  <c r="Z834" i="3"/>
  <c r="U833" i="3" l="1"/>
  <c r="Y832" i="3"/>
  <c r="T834" i="3"/>
  <c r="D834" i="3" l="1"/>
  <c r="G834" i="3" s="1"/>
  <c r="E834" i="3"/>
  <c r="H834" i="3" s="1"/>
  <c r="K834" i="3" s="1"/>
  <c r="AE834" i="3" s="1"/>
  <c r="AH834" i="3"/>
  <c r="AG834" i="3"/>
  <c r="F834" i="3" l="1"/>
  <c r="V834" i="3"/>
  <c r="A835" i="3"/>
  <c r="B835" i="3" s="1"/>
  <c r="I834" i="3"/>
  <c r="J834" i="3"/>
  <c r="AD834" i="3" s="1"/>
  <c r="M834" i="3"/>
  <c r="N834" i="3" s="1"/>
  <c r="W834" i="3" l="1"/>
  <c r="L834" i="3"/>
  <c r="Z835" i="3"/>
  <c r="P835" i="3"/>
  <c r="Q835" i="3" s="1"/>
  <c r="R835" i="3" s="1"/>
  <c r="S835" i="3" s="1"/>
  <c r="AC835" i="3"/>
  <c r="AA835" i="3"/>
  <c r="T835" i="3" l="1"/>
  <c r="U834" i="3"/>
  <c r="Y833" i="3"/>
  <c r="E835" i="3" l="1"/>
  <c r="H835" i="3" s="1"/>
  <c r="K835" i="3" s="1"/>
  <c r="AE835" i="3" s="1"/>
  <c r="AH835" i="3"/>
  <c r="AG835" i="3"/>
  <c r="D835" i="3"/>
  <c r="F835" i="3" l="1"/>
  <c r="G835" i="3"/>
  <c r="V835" i="3"/>
  <c r="A836" i="3"/>
  <c r="B836" i="3" s="1"/>
  <c r="I835" i="3" l="1"/>
  <c r="W835" i="3" s="1"/>
  <c r="J835" i="3"/>
  <c r="AD835" i="3" s="1"/>
  <c r="M835" i="3"/>
  <c r="N835" i="3" s="1"/>
  <c r="Z836" i="3"/>
  <c r="AA836" i="3"/>
  <c r="AC836" i="3"/>
  <c r="P836" i="3"/>
  <c r="Q836" i="3" s="1"/>
  <c r="R836" i="3" s="1"/>
  <c r="S836" i="3" s="1"/>
  <c r="T836" i="3" l="1"/>
  <c r="L835" i="3"/>
  <c r="AG836" i="3" l="1"/>
  <c r="U835" i="3"/>
  <c r="D836" i="3" s="1"/>
  <c r="AH836" i="3"/>
  <c r="Y834" i="3"/>
  <c r="E836" i="3" l="1"/>
  <c r="H836" i="3" s="1"/>
  <c r="K836" i="3" s="1"/>
  <c r="AE836" i="3" s="1"/>
  <c r="G836" i="3"/>
  <c r="F836" i="3" l="1"/>
  <c r="V836" i="3"/>
  <c r="A837" i="3"/>
  <c r="B837" i="3" s="1"/>
  <c r="I836" i="3"/>
  <c r="J836" i="3"/>
  <c r="AD836" i="3" s="1"/>
  <c r="M836" i="3"/>
  <c r="N836" i="3" s="1"/>
  <c r="L836" i="3" l="1"/>
  <c r="W836" i="3"/>
  <c r="P837" i="3"/>
  <c r="Q837" i="3" s="1"/>
  <c r="R837" i="3" s="1"/>
  <c r="S837" i="3" s="1"/>
  <c r="AA837" i="3"/>
  <c r="AC837" i="3"/>
  <c r="Z837" i="3"/>
  <c r="U836" i="3" l="1"/>
  <c r="Y835" i="3"/>
  <c r="T837" i="3"/>
  <c r="AH837" i="3" s="1"/>
  <c r="E837" i="3" l="1"/>
  <c r="H837" i="3" s="1"/>
  <c r="K837" i="3" s="1"/>
  <c r="AE837" i="3" s="1"/>
  <c r="D837" i="3"/>
  <c r="G837" i="3" s="1"/>
  <c r="AG837" i="3"/>
  <c r="F837" i="3" l="1"/>
  <c r="I837" i="3"/>
  <c r="J837" i="3"/>
  <c r="AD837" i="3" s="1"/>
  <c r="M837" i="3"/>
  <c r="N837" i="3" s="1"/>
  <c r="V837" i="3"/>
  <c r="A838" i="3"/>
  <c r="B838" i="3" s="1"/>
  <c r="W837" i="3" l="1"/>
  <c r="L837" i="3"/>
  <c r="P838" i="3"/>
  <c r="Q838" i="3" s="1"/>
  <c r="R838" i="3" s="1"/>
  <c r="S838" i="3" s="1"/>
  <c r="AA838" i="3"/>
  <c r="AC838" i="3"/>
  <c r="Z838" i="3"/>
  <c r="U837" i="3" l="1"/>
  <c r="Y836" i="3"/>
  <c r="T838" i="3"/>
  <c r="AH838" i="3" s="1"/>
  <c r="E838" i="3" l="1"/>
  <c r="H838" i="3" s="1"/>
  <c r="D838" i="3"/>
  <c r="AG838" i="3"/>
  <c r="K838" i="3" l="1"/>
  <c r="AE838" i="3" s="1"/>
  <c r="F838" i="3"/>
  <c r="G838" i="3"/>
  <c r="V838" i="3" l="1"/>
  <c r="A839" i="3"/>
  <c r="B839" i="3" s="1"/>
  <c r="I838" i="3"/>
  <c r="J838" i="3"/>
  <c r="AD838" i="3" s="1"/>
  <c r="M838" i="3"/>
  <c r="N838" i="3" s="1"/>
  <c r="W838" i="3" l="1"/>
  <c r="L838" i="3"/>
  <c r="AC839" i="3"/>
  <c r="Z839" i="3"/>
  <c r="AA839" i="3"/>
  <c r="P839" i="3"/>
  <c r="Q839" i="3" s="1"/>
  <c r="R839" i="3" s="1"/>
  <c r="S839" i="3" s="1"/>
  <c r="U838" i="3" l="1"/>
  <c r="Y837" i="3"/>
  <c r="T839" i="3"/>
  <c r="AG839" i="3" s="1"/>
  <c r="D839" i="3" l="1"/>
  <c r="E839" i="3"/>
  <c r="H839" i="3" s="1"/>
  <c r="AH839" i="3"/>
  <c r="F839" i="3" l="1"/>
  <c r="G839" i="3"/>
  <c r="K839" i="3"/>
  <c r="AE839" i="3" s="1"/>
  <c r="V839" i="3" l="1"/>
  <c r="A840" i="3"/>
  <c r="B840" i="3" s="1"/>
  <c r="I839" i="3"/>
  <c r="J839" i="3"/>
  <c r="AD839" i="3" s="1"/>
  <c r="M839" i="3"/>
  <c r="N839" i="3" s="1"/>
  <c r="W839" i="3" l="1"/>
  <c r="L839" i="3"/>
  <c r="AC840" i="3"/>
  <c r="P840" i="3"/>
  <c r="Q840" i="3" s="1"/>
  <c r="R840" i="3" s="1"/>
  <c r="S840" i="3" s="1"/>
  <c r="AA840" i="3"/>
  <c r="Z840" i="3"/>
  <c r="T840" i="3" l="1"/>
  <c r="U839" i="3"/>
  <c r="Y838" i="3"/>
  <c r="D840" i="3" l="1"/>
  <c r="G840" i="3" s="1"/>
  <c r="AG840" i="3"/>
  <c r="E840" i="3"/>
  <c r="H840" i="3" s="1"/>
  <c r="AH840" i="3"/>
  <c r="K840" i="3" l="1"/>
  <c r="AE840" i="3" s="1"/>
  <c r="I840" i="3"/>
  <c r="J840" i="3"/>
  <c r="AD840" i="3" s="1"/>
  <c r="M840" i="3"/>
  <c r="N840" i="3" s="1"/>
  <c r="F840" i="3"/>
  <c r="L840" i="3" l="1"/>
  <c r="V840" i="3"/>
  <c r="W840" i="3" s="1"/>
  <c r="A841" i="3"/>
  <c r="B841" i="3" s="1"/>
  <c r="U840" i="3" l="1"/>
  <c r="Y839" i="3"/>
  <c r="AA841" i="3"/>
  <c r="Z841" i="3"/>
  <c r="AC841" i="3"/>
  <c r="P841" i="3"/>
  <c r="Q841" i="3" s="1"/>
  <c r="R841" i="3" s="1"/>
  <c r="S841" i="3" s="1"/>
  <c r="T841" i="3" l="1"/>
  <c r="AH841" i="3" s="1"/>
  <c r="E841" i="3" l="1"/>
  <c r="H841" i="3" s="1"/>
  <c r="K841" i="3" s="1"/>
  <c r="AE841" i="3" s="1"/>
  <c r="AG841" i="3"/>
  <c r="D841" i="3"/>
  <c r="G841" i="3" s="1"/>
  <c r="F841" i="3" l="1"/>
  <c r="I841" i="3"/>
  <c r="J841" i="3"/>
  <c r="AD841" i="3" s="1"/>
  <c r="M841" i="3"/>
  <c r="N841" i="3" s="1"/>
  <c r="V841" i="3"/>
  <c r="A842" i="3"/>
  <c r="B842" i="3" s="1"/>
  <c r="W841" i="3" l="1"/>
  <c r="L841" i="3"/>
  <c r="P842" i="3"/>
  <c r="Q842" i="3" s="1"/>
  <c r="R842" i="3" s="1"/>
  <c r="S842" i="3" s="1"/>
  <c r="Z842" i="3"/>
  <c r="AC842" i="3"/>
  <c r="AA842" i="3"/>
  <c r="U841" i="3" l="1"/>
  <c r="Y840" i="3"/>
  <c r="T842" i="3"/>
  <c r="AG842" i="3" s="1"/>
  <c r="D842" i="3" l="1"/>
  <c r="G842" i="3" s="1"/>
  <c r="E842" i="3"/>
  <c r="H842" i="3" s="1"/>
  <c r="K842" i="3" s="1"/>
  <c r="AE842" i="3" s="1"/>
  <c r="AH842" i="3"/>
  <c r="F842" i="3" l="1"/>
  <c r="V842" i="3"/>
  <c r="A843" i="3"/>
  <c r="B843" i="3" s="1"/>
  <c r="I842" i="3"/>
  <c r="J842" i="3"/>
  <c r="AD842" i="3" s="1"/>
  <c r="M842" i="3"/>
  <c r="N842" i="3" s="1"/>
  <c r="W842" i="3" l="1"/>
  <c r="L842" i="3"/>
  <c r="AC843" i="3"/>
  <c r="AA843" i="3"/>
  <c r="Z843" i="3"/>
  <c r="P843" i="3"/>
  <c r="Q843" i="3" s="1"/>
  <c r="R843" i="3" s="1"/>
  <c r="S843" i="3" s="1"/>
  <c r="U842" i="3" l="1"/>
  <c r="Y841" i="3"/>
  <c r="T843" i="3"/>
  <c r="AG843" i="3" s="1"/>
  <c r="D843" i="3" l="1"/>
  <c r="E843" i="3"/>
  <c r="H843" i="3" s="1"/>
  <c r="AH843" i="3"/>
  <c r="F843" i="3" l="1"/>
  <c r="G843" i="3"/>
  <c r="K843" i="3"/>
  <c r="AE843" i="3" s="1"/>
  <c r="V843" i="3" l="1"/>
  <c r="A844" i="3"/>
  <c r="B844" i="3" s="1"/>
  <c r="I843" i="3"/>
  <c r="J843" i="3"/>
  <c r="AD843" i="3" s="1"/>
  <c r="M843" i="3"/>
  <c r="N843" i="3" s="1"/>
  <c r="W843" i="3" l="1"/>
  <c r="L843" i="3"/>
  <c r="AC844" i="3"/>
  <c r="P844" i="3"/>
  <c r="Q844" i="3" s="1"/>
  <c r="R844" i="3" s="1"/>
  <c r="S844" i="3" s="1"/>
  <c r="Z844" i="3"/>
  <c r="AA844" i="3"/>
  <c r="U843" i="3" l="1"/>
  <c r="Y842" i="3"/>
  <c r="T844" i="3"/>
  <c r="AH844" i="3" s="1"/>
  <c r="AG844" i="3" l="1"/>
  <c r="E844" i="3"/>
  <c r="H844" i="3" s="1"/>
  <c r="K844" i="3" s="1"/>
  <c r="AE844" i="3" s="1"/>
  <c r="D844" i="3"/>
  <c r="V844" i="3" l="1"/>
  <c r="A845" i="3"/>
  <c r="B845" i="3" s="1"/>
  <c r="F844" i="3"/>
  <c r="G844" i="3"/>
  <c r="I844" i="3" l="1"/>
  <c r="W844" i="3" s="1"/>
  <c r="J844" i="3"/>
  <c r="AD844" i="3" s="1"/>
  <c r="M844" i="3"/>
  <c r="N844" i="3" s="1"/>
  <c r="AC845" i="3"/>
  <c r="P845" i="3"/>
  <c r="Q845" i="3" s="1"/>
  <c r="R845" i="3" s="1"/>
  <c r="S845" i="3" s="1"/>
  <c r="Z845" i="3"/>
  <c r="AA845" i="3"/>
  <c r="T845" i="3" l="1"/>
  <c r="L844" i="3"/>
  <c r="AH845" i="3" l="1"/>
  <c r="U844" i="3"/>
  <c r="D845" i="3" s="1"/>
  <c r="AG845" i="3"/>
  <c r="Y843" i="3"/>
  <c r="E845" i="3" l="1"/>
  <c r="H845" i="3" s="1"/>
  <c r="K845" i="3" s="1"/>
  <c r="AE845" i="3" s="1"/>
  <c r="G845" i="3"/>
  <c r="F845" i="3" l="1"/>
  <c r="I845" i="3"/>
  <c r="J845" i="3"/>
  <c r="AD845" i="3" s="1"/>
  <c r="M845" i="3"/>
  <c r="N845" i="3" s="1"/>
  <c r="V845" i="3"/>
  <c r="A846" i="3"/>
  <c r="B846" i="3" s="1"/>
  <c r="W845" i="3" l="1"/>
  <c r="L845" i="3"/>
  <c r="P846" i="3"/>
  <c r="Q846" i="3" s="1"/>
  <c r="R846" i="3" s="1"/>
  <c r="S846" i="3" s="1"/>
  <c r="AC846" i="3"/>
  <c r="Z846" i="3"/>
  <c r="AA846" i="3"/>
  <c r="U845" i="3" l="1"/>
  <c r="Y844" i="3"/>
  <c r="T846" i="3"/>
  <c r="AH846" i="3" s="1"/>
  <c r="D846" i="3" l="1"/>
  <c r="G846" i="3" s="1"/>
  <c r="E846" i="3"/>
  <c r="H846" i="3" s="1"/>
  <c r="K846" i="3" s="1"/>
  <c r="AE846" i="3" s="1"/>
  <c r="AG846" i="3"/>
  <c r="F846" i="3" l="1"/>
  <c r="I846" i="3"/>
  <c r="J846" i="3"/>
  <c r="AD846" i="3" s="1"/>
  <c r="M846" i="3"/>
  <c r="N846" i="3" s="1"/>
  <c r="V846" i="3"/>
  <c r="A847" i="3"/>
  <c r="B847" i="3" s="1"/>
  <c r="W846" i="3" l="1"/>
  <c r="L846" i="3"/>
  <c r="AC847" i="3"/>
  <c r="P847" i="3"/>
  <c r="Q847" i="3" s="1"/>
  <c r="R847" i="3" s="1"/>
  <c r="S847" i="3" s="1"/>
  <c r="AA847" i="3"/>
  <c r="Z847" i="3"/>
  <c r="U846" i="3" l="1"/>
  <c r="Y845" i="3"/>
  <c r="T847" i="3"/>
  <c r="D847" i="3" l="1"/>
  <c r="G847" i="3" s="1"/>
  <c r="E847" i="3"/>
  <c r="H847" i="3" s="1"/>
  <c r="K847" i="3" s="1"/>
  <c r="AE847" i="3" s="1"/>
  <c r="AH847" i="3"/>
  <c r="AG847" i="3"/>
  <c r="F847" i="3" l="1"/>
  <c r="I847" i="3"/>
  <c r="J847" i="3"/>
  <c r="AD847" i="3" s="1"/>
  <c r="M847" i="3"/>
  <c r="N847" i="3" s="1"/>
  <c r="V847" i="3"/>
  <c r="A848" i="3"/>
  <c r="B848" i="3" s="1"/>
  <c r="W847" i="3" l="1"/>
  <c r="L847" i="3"/>
  <c r="AA848" i="3"/>
  <c r="P848" i="3"/>
  <c r="Q848" i="3" s="1"/>
  <c r="R848" i="3" s="1"/>
  <c r="S848" i="3" s="1"/>
  <c r="Z848" i="3"/>
  <c r="AC848" i="3"/>
  <c r="U847" i="3" l="1"/>
  <c r="Y846" i="3"/>
  <c r="T848" i="3"/>
  <c r="AG848" i="3" s="1"/>
  <c r="D848" i="3" l="1"/>
  <c r="AH848" i="3"/>
  <c r="E848" i="3"/>
  <c r="H848" i="3" s="1"/>
  <c r="F848" i="3" l="1"/>
  <c r="G848" i="3"/>
  <c r="K848" i="3"/>
  <c r="AE848" i="3" s="1"/>
  <c r="V848" i="3" l="1"/>
  <c r="A849" i="3"/>
  <c r="B849" i="3" s="1"/>
  <c r="I848" i="3"/>
  <c r="J848" i="3"/>
  <c r="AD848" i="3" s="1"/>
  <c r="M848" i="3"/>
  <c r="N848" i="3" s="1"/>
  <c r="W848" i="3" l="1"/>
  <c r="L848" i="3"/>
  <c r="P849" i="3"/>
  <c r="Q849" i="3" s="1"/>
  <c r="R849" i="3" s="1"/>
  <c r="S849" i="3" s="1"/>
  <c r="AC849" i="3"/>
  <c r="Z849" i="3"/>
  <c r="AA849" i="3"/>
  <c r="U848" i="3" l="1"/>
  <c r="Y847" i="3"/>
  <c r="T849" i="3"/>
  <c r="AG849" i="3" s="1"/>
  <c r="E849" i="3" l="1"/>
  <c r="H849" i="3" s="1"/>
  <c r="K849" i="3" s="1"/>
  <c r="AE849" i="3" s="1"/>
  <c r="D849" i="3"/>
  <c r="G849" i="3" s="1"/>
  <c r="AH849" i="3"/>
  <c r="F849" i="3" l="1"/>
  <c r="V849" i="3"/>
  <c r="A850" i="3"/>
  <c r="B850" i="3" s="1"/>
  <c r="I849" i="3"/>
  <c r="J849" i="3"/>
  <c r="AD849" i="3" s="1"/>
  <c r="M849" i="3"/>
  <c r="N849" i="3" s="1"/>
  <c r="W849" i="3" l="1"/>
  <c r="L849" i="3"/>
  <c r="AA850" i="3"/>
  <c r="AC850" i="3"/>
  <c r="P850" i="3"/>
  <c r="Q850" i="3" s="1"/>
  <c r="R850" i="3" s="1"/>
  <c r="S850" i="3" s="1"/>
  <c r="Z850" i="3"/>
  <c r="T850" i="3" l="1"/>
  <c r="AG850" i="3" s="1"/>
  <c r="U849" i="3"/>
  <c r="Y848" i="3"/>
  <c r="E850" i="3" l="1"/>
  <c r="H850" i="3" s="1"/>
  <c r="D850" i="3"/>
  <c r="AH850" i="3"/>
  <c r="K850" i="3" l="1"/>
  <c r="AE850" i="3" s="1"/>
  <c r="F850" i="3"/>
  <c r="G850" i="3"/>
  <c r="I850" i="3" l="1"/>
  <c r="J850" i="3"/>
  <c r="AD850" i="3" s="1"/>
  <c r="M850" i="3"/>
  <c r="N850" i="3" s="1"/>
  <c r="V850" i="3"/>
  <c r="A851" i="3"/>
  <c r="B851" i="3" s="1"/>
  <c r="W850" i="3" l="1"/>
  <c r="L850" i="3"/>
  <c r="P851" i="3"/>
  <c r="Q851" i="3" s="1"/>
  <c r="R851" i="3" s="1"/>
  <c r="S851" i="3" s="1"/>
  <c r="AA851" i="3"/>
  <c r="AC851" i="3"/>
  <c r="Z851" i="3"/>
  <c r="U850" i="3" l="1"/>
  <c r="Y849" i="3"/>
  <c r="T851" i="3"/>
  <c r="AH851" i="3" s="1"/>
  <c r="E851" i="3" l="1"/>
  <c r="H851" i="3" s="1"/>
  <c r="K851" i="3" s="1"/>
  <c r="AE851" i="3" s="1"/>
  <c r="AG851" i="3"/>
  <c r="D851" i="3"/>
  <c r="F851" i="3" l="1"/>
  <c r="G851" i="3"/>
  <c r="M851" i="3" s="1"/>
  <c r="N851" i="3" s="1"/>
  <c r="V851" i="3"/>
  <c r="A852" i="3"/>
  <c r="B852" i="3" s="1"/>
  <c r="I851" i="3" l="1"/>
  <c r="W851" i="3" s="1"/>
  <c r="J851" i="3"/>
  <c r="AC852" i="3"/>
  <c r="AA852" i="3"/>
  <c r="P852" i="3"/>
  <c r="Q852" i="3" s="1"/>
  <c r="R852" i="3" s="1"/>
  <c r="S852" i="3" s="1"/>
  <c r="Z852" i="3"/>
  <c r="L851" i="3" l="1"/>
  <c r="U851" i="3" s="1"/>
  <c r="AD851" i="3"/>
  <c r="T852" i="3"/>
  <c r="Y850" i="3" l="1"/>
  <c r="D852" i="3"/>
  <c r="G852" i="3" s="1"/>
  <c r="AH852" i="3"/>
  <c r="E852" i="3"/>
  <c r="H852" i="3" s="1"/>
  <c r="AG852" i="3"/>
  <c r="F852" i="3" l="1"/>
  <c r="I852" i="3"/>
  <c r="J852" i="3"/>
  <c r="AD852" i="3" s="1"/>
  <c r="M852" i="3"/>
  <c r="N852" i="3" s="1"/>
  <c r="K852" i="3"/>
  <c r="AE852" i="3" s="1"/>
  <c r="L852" i="3" l="1"/>
  <c r="V852" i="3"/>
  <c r="W852" i="3" s="1"/>
  <c r="A853" i="3"/>
  <c r="B853" i="3" s="1"/>
  <c r="U852" i="3" l="1"/>
  <c r="Y851" i="3"/>
  <c r="AC853" i="3"/>
  <c r="P853" i="3"/>
  <c r="Q853" i="3" s="1"/>
  <c r="R853" i="3" s="1"/>
  <c r="S853" i="3" s="1"/>
  <c r="Z853" i="3"/>
  <c r="AA853" i="3"/>
  <c r="T853" i="3" l="1"/>
  <c r="AG853" i="3" s="1"/>
  <c r="E853" i="3" l="1"/>
  <c r="H853" i="3" s="1"/>
  <c r="AH853" i="3"/>
  <c r="D853" i="3"/>
  <c r="K853" i="3" l="1"/>
  <c r="AE853" i="3" s="1"/>
  <c r="F853" i="3"/>
  <c r="G853" i="3"/>
  <c r="I853" i="3" l="1"/>
  <c r="J853" i="3"/>
  <c r="AD853" i="3" s="1"/>
  <c r="M853" i="3"/>
  <c r="N853" i="3" s="1"/>
  <c r="V853" i="3"/>
  <c r="A854" i="3"/>
  <c r="B854" i="3" s="1"/>
  <c r="W853" i="3" l="1"/>
  <c r="L853" i="3"/>
  <c r="Z854" i="3"/>
  <c r="P854" i="3"/>
  <c r="Q854" i="3" s="1"/>
  <c r="R854" i="3" s="1"/>
  <c r="S854" i="3" s="1"/>
  <c r="AC854" i="3"/>
  <c r="AA854" i="3"/>
  <c r="U853" i="3" l="1"/>
  <c r="Y852" i="3"/>
  <c r="T854" i="3"/>
  <c r="AG854" i="3" s="1"/>
  <c r="E854" i="3" l="1"/>
  <c r="H854" i="3" s="1"/>
  <c r="K854" i="3" s="1"/>
  <c r="AE854" i="3" s="1"/>
  <c r="AH854" i="3"/>
  <c r="D854" i="3"/>
  <c r="G854" i="3" s="1"/>
  <c r="F854" i="3" l="1"/>
  <c r="I854" i="3"/>
  <c r="J854" i="3"/>
  <c r="AD854" i="3" s="1"/>
  <c r="M854" i="3"/>
  <c r="N854" i="3" s="1"/>
  <c r="V854" i="3"/>
  <c r="A855" i="3"/>
  <c r="B855" i="3" s="1"/>
  <c r="W854" i="3" l="1"/>
  <c r="L854" i="3"/>
  <c r="Z855" i="3"/>
  <c r="P855" i="3"/>
  <c r="Q855" i="3" s="1"/>
  <c r="R855" i="3" s="1"/>
  <c r="S855" i="3" s="1"/>
  <c r="AA855" i="3"/>
  <c r="AC855" i="3"/>
  <c r="T855" i="3" l="1"/>
  <c r="AG855" i="3" s="1"/>
  <c r="U854" i="3"/>
  <c r="Y853" i="3"/>
  <c r="E855" i="3" l="1"/>
  <c r="H855" i="3" s="1"/>
  <c r="K855" i="3" s="1"/>
  <c r="AE855" i="3" s="1"/>
  <c r="D855" i="3"/>
  <c r="AH855" i="3"/>
  <c r="F855" i="3" l="1"/>
  <c r="G855" i="3"/>
  <c r="V855" i="3"/>
  <c r="A856" i="3"/>
  <c r="B856" i="3" s="1"/>
  <c r="AA856" i="3" l="1"/>
  <c r="P856" i="3"/>
  <c r="Q856" i="3" s="1"/>
  <c r="R856" i="3" s="1"/>
  <c r="S856" i="3" s="1"/>
  <c r="Z856" i="3"/>
  <c r="AC856" i="3"/>
  <c r="I855" i="3"/>
  <c r="W855" i="3" s="1"/>
  <c r="J855" i="3"/>
  <c r="AD855" i="3" s="1"/>
  <c r="M855" i="3"/>
  <c r="N855" i="3" s="1"/>
  <c r="L855" i="3" l="1"/>
  <c r="T856" i="3"/>
  <c r="U855" i="3" l="1"/>
  <c r="D856" i="3" s="1"/>
  <c r="AH856" i="3"/>
  <c r="AG856" i="3"/>
  <c r="Y854" i="3"/>
  <c r="G856" i="3" l="1"/>
  <c r="E856" i="3"/>
  <c r="H856" i="3" s="1"/>
  <c r="F856" i="3" l="1"/>
  <c r="K856" i="3"/>
  <c r="AE856" i="3" s="1"/>
  <c r="I856" i="3"/>
  <c r="J856" i="3"/>
  <c r="AD856" i="3" s="1"/>
  <c r="M856" i="3"/>
  <c r="N856" i="3" s="1"/>
  <c r="L856" i="3" l="1"/>
  <c r="V856" i="3"/>
  <c r="W856" i="3" s="1"/>
  <c r="A857" i="3"/>
  <c r="B857" i="3" s="1"/>
  <c r="Z857" i="3" l="1"/>
  <c r="AC857" i="3"/>
  <c r="AA857" i="3"/>
  <c r="P857" i="3"/>
  <c r="Q857" i="3" s="1"/>
  <c r="R857" i="3" s="1"/>
  <c r="S857" i="3" s="1"/>
  <c r="U856" i="3"/>
  <c r="Y855" i="3"/>
  <c r="T857" i="3" l="1"/>
  <c r="E857" i="3" l="1"/>
  <c r="H857" i="3" s="1"/>
  <c r="AG857" i="3"/>
  <c r="D857" i="3"/>
  <c r="AH857" i="3"/>
  <c r="K857" i="3" l="1"/>
  <c r="AE857" i="3" s="1"/>
  <c r="F857" i="3"/>
  <c r="G857" i="3"/>
  <c r="I857" i="3" l="1"/>
  <c r="J857" i="3"/>
  <c r="AD857" i="3" s="1"/>
  <c r="M857" i="3"/>
  <c r="N857" i="3" s="1"/>
  <c r="V857" i="3"/>
  <c r="A858" i="3"/>
  <c r="B858" i="3" s="1"/>
  <c r="W857" i="3" l="1"/>
  <c r="L857" i="3"/>
  <c r="AA858" i="3"/>
  <c r="Z858" i="3"/>
  <c r="P858" i="3"/>
  <c r="Q858" i="3" s="1"/>
  <c r="R858" i="3" s="1"/>
  <c r="S858" i="3" s="1"/>
  <c r="AC858" i="3"/>
  <c r="U857" i="3" l="1"/>
  <c r="Y856" i="3"/>
  <c r="T858" i="3"/>
  <c r="D858" i="3" l="1"/>
  <c r="G858" i="3" s="1"/>
  <c r="E858" i="3"/>
  <c r="H858" i="3" s="1"/>
  <c r="K858" i="3" s="1"/>
  <c r="AE858" i="3" s="1"/>
  <c r="AG858" i="3"/>
  <c r="AH858" i="3"/>
  <c r="F858" i="3" l="1"/>
  <c r="V858" i="3"/>
  <c r="A859" i="3"/>
  <c r="B859" i="3" s="1"/>
  <c r="I858" i="3"/>
  <c r="J858" i="3"/>
  <c r="AD858" i="3" s="1"/>
  <c r="M858" i="3"/>
  <c r="N858" i="3" s="1"/>
  <c r="W858" i="3" l="1"/>
  <c r="L858" i="3"/>
  <c r="AC859" i="3"/>
  <c r="P859" i="3"/>
  <c r="Q859" i="3" s="1"/>
  <c r="R859" i="3" s="1"/>
  <c r="S859" i="3" s="1"/>
  <c r="AA859" i="3"/>
  <c r="Z859" i="3"/>
  <c r="U858" i="3" l="1"/>
  <c r="Y857" i="3"/>
  <c r="T859" i="3"/>
  <c r="D859" i="3" l="1"/>
  <c r="G859" i="3" s="1"/>
  <c r="AH859" i="3"/>
  <c r="AG859" i="3"/>
  <c r="E859" i="3"/>
  <c r="H859" i="3" s="1"/>
  <c r="K859" i="3" s="1"/>
  <c r="AE859" i="3" s="1"/>
  <c r="F859" i="3" l="1"/>
  <c r="I859" i="3"/>
  <c r="J859" i="3"/>
  <c r="AD859" i="3" s="1"/>
  <c r="M859" i="3"/>
  <c r="N859" i="3" s="1"/>
  <c r="V859" i="3"/>
  <c r="A860" i="3"/>
  <c r="B860" i="3" s="1"/>
  <c r="W859" i="3" l="1"/>
  <c r="AC860" i="3"/>
  <c r="Z860" i="3"/>
  <c r="AA860" i="3"/>
  <c r="P860" i="3"/>
  <c r="Q860" i="3" s="1"/>
  <c r="R860" i="3" s="1"/>
  <c r="S860" i="3" s="1"/>
  <c r="L859" i="3"/>
  <c r="T860" i="3" l="1"/>
  <c r="U859" i="3"/>
  <c r="Y858" i="3"/>
  <c r="D860" i="3" l="1"/>
  <c r="G860" i="3" s="1"/>
  <c r="AG860" i="3"/>
  <c r="AH860" i="3"/>
  <c r="E860" i="3"/>
  <c r="H860" i="3" s="1"/>
  <c r="I860" i="3" l="1"/>
  <c r="J860" i="3"/>
  <c r="AD860" i="3" s="1"/>
  <c r="M860" i="3"/>
  <c r="N860" i="3" s="1"/>
  <c r="K860" i="3"/>
  <c r="AE860" i="3" s="1"/>
  <c r="F860" i="3"/>
  <c r="L860" i="3" l="1"/>
  <c r="V860" i="3"/>
  <c r="W860" i="3" s="1"/>
  <c r="A861" i="3"/>
  <c r="B861" i="3" s="1"/>
  <c r="U860" i="3" l="1"/>
  <c r="Y859" i="3"/>
  <c r="Z861" i="3"/>
  <c r="P861" i="3"/>
  <c r="Q861" i="3" s="1"/>
  <c r="R861" i="3" s="1"/>
  <c r="S861" i="3" s="1"/>
  <c r="AC861" i="3"/>
  <c r="AA861" i="3"/>
  <c r="T861" i="3" l="1"/>
  <c r="E861" i="3" s="1"/>
  <c r="H861" i="3" s="1"/>
  <c r="K861" i="3" l="1"/>
  <c r="AE861" i="3" s="1"/>
  <c r="D861" i="3"/>
  <c r="AH861" i="3"/>
  <c r="AG861" i="3"/>
  <c r="F861" i="3" l="1"/>
  <c r="G861" i="3"/>
  <c r="V861" i="3"/>
  <c r="A862" i="3"/>
  <c r="B862" i="3" s="1"/>
  <c r="Z862" i="3" l="1"/>
  <c r="P862" i="3"/>
  <c r="Q862" i="3" s="1"/>
  <c r="R862" i="3" s="1"/>
  <c r="S862" i="3" s="1"/>
  <c r="AC862" i="3"/>
  <c r="AA862" i="3"/>
  <c r="I861" i="3"/>
  <c r="W861" i="3" s="1"/>
  <c r="J861" i="3"/>
  <c r="AD861" i="3" s="1"/>
  <c r="M861" i="3"/>
  <c r="N861" i="3" s="1"/>
  <c r="T862" i="3" l="1"/>
  <c r="L861" i="3"/>
  <c r="AH862" i="3" l="1"/>
  <c r="U861" i="3"/>
  <c r="D862" i="3" s="1"/>
  <c r="AG862" i="3"/>
  <c r="Y860" i="3"/>
  <c r="E862" i="3" l="1"/>
  <c r="H862" i="3" s="1"/>
  <c r="K862" i="3" s="1"/>
  <c r="AE862" i="3" s="1"/>
  <c r="G862" i="3"/>
  <c r="F862" i="3" l="1"/>
  <c r="I862" i="3"/>
  <c r="J862" i="3"/>
  <c r="AD862" i="3" s="1"/>
  <c r="M862" i="3"/>
  <c r="N862" i="3" s="1"/>
  <c r="V862" i="3"/>
  <c r="A863" i="3"/>
  <c r="B863" i="3" s="1"/>
  <c r="W862" i="3" l="1"/>
  <c r="L862" i="3"/>
  <c r="AA863" i="3"/>
  <c r="Z863" i="3"/>
  <c r="P863" i="3"/>
  <c r="Q863" i="3" s="1"/>
  <c r="R863" i="3" s="1"/>
  <c r="S863" i="3" s="1"/>
  <c r="AC863" i="3"/>
  <c r="T863" i="3" l="1"/>
  <c r="U862" i="3"/>
  <c r="Y861" i="3"/>
  <c r="E863" i="3" l="1"/>
  <c r="H863" i="3" s="1"/>
  <c r="K863" i="3" s="1"/>
  <c r="AE863" i="3" s="1"/>
  <c r="D863" i="3"/>
  <c r="G863" i="3" s="1"/>
  <c r="AH863" i="3"/>
  <c r="AG863" i="3"/>
  <c r="F863" i="3" l="1"/>
  <c r="I863" i="3"/>
  <c r="J863" i="3"/>
  <c r="AD863" i="3" s="1"/>
  <c r="M863" i="3"/>
  <c r="N863" i="3" s="1"/>
  <c r="V863" i="3"/>
  <c r="A864" i="3"/>
  <c r="B864" i="3" s="1"/>
  <c r="W863" i="3" l="1"/>
  <c r="L863" i="3"/>
  <c r="AC864" i="3"/>
  <c r="Z864" i="3"/>
  <c r="AA864" i="3"/>
  <c r="P864" i="3"/>
  <c r="Q864" i="3" s="1"/>
  <c r="R864" i="3" s="1"/>
  <c r="S864" i="3" s="1"/>
  <c r="U863" i="3" l="1"/>
  <c r="Y862" i="3"/>
  <c r="T864" i="3"/>
  <c r="AH864" i="3" s="1"/>
  <c r="E864" i="3" l="1"/>
  <c r="H864" i="3" s="1"/>
  <c r="D864" i="3"/>
  <c r="AG864" i="3"/>
  <c r="K864" i="3" l="1"/>
  <c r="AE864" i="3" s="1"/>
  <c r="F864" i="3"/>
  <c r="G864" i="3"/>
  <c r="I864" i="3" l="1"/>
  <c r="J864" i="3"/>
  <c r="AD864" i="3" s="1"/>
  <c r="M864" i="3"/>
  <c r="N864" i="3" s="1"/>
  <c r="V864" i="3"/>
  <c r="A865" i="3"/>
  <c r="B865" i="3" s="1"/>
  <c r="W864" i="3" l="1"/>
  <c r="L864" i="3"/>
  <c r="AD865" i="3"/>
  <c r="P865" i="3"/>
  <c r="Q865" i="3" s="1"/>
  <c r="R865" i="3" s="1"/>
  <c r="S865" i="3" s="1"/>
  <c r="AC865" i="3"/>
  <c r="Z865" i="3"/>
  <c r="AA865" i="3"/>
  <c r="U864" i="3" l="1"/>
  <c r="Y863" i="3"/>
  <c r="T865" i="3"/>
  <c r="AG865" i="3" s="1"/>
  <c r="E865" i="3" l="1"/>
  <c r="H865" i="3" s="1"/>
  <c r="K865" i="3" s="1"/>
  <c r="AE865" i="3" s="1"/>
  <c r="D865" i="3"/>
  <c r="G865" i="3" s="1"/>
  <c r="AH865" i="3"/>
  <c r="F865" i="3" l="1"/>
  <c r="V865" i="3"/>
  <c r="A866" i="3"/>
  <c r="B866" i="3" s="1"/>
  <c r="I865" i="3"/>
  <c r="J865" i="3"/>
  <c r="M865" i="3"/>
  <c r="N865" i="3" s="1"/>
  <c r="W865" i="3" l="1"/>
  <c r="L865" i="3"/>
  <c r="P866" i="3"/>
  <c r="Q866" i="3" s="1"/>
  <c r="R866" i="3" s="1"/>
  <c r="S866" i="3" s="1"/>
  <c r="AA866" i="3"/>
  <c r="Z866" i="3"/>
  <c r="AC866" i="3"/>
  <c r="AD866" i="3"/>
  <c r="T866" i="3" l="1"/>
  <c r="U865" i="3"/>
  <c r="Y864" i="3"/>
  <c r="D866" i="3" l="1"/>
  <c r="G866" i="3" s="1"/>
  <c r="AG866" i="3"/>
  <c r="AH866" i="3"/>
  <c r="E866" i="3"/>
  <c r="H866" i="3" s="1"/>
  <c r="F866" i="3" l="1"/>
  <c r="K866" i="3"/>
  <c r="AE866" i="3" s="1"/>
  <c r="I866" i="3"/>
  <c r="J866" i="3"/>
  <c r="M866" i="3"/>
  <c r="N866" i="3" s="1"/>
  <c r="L866" i="3" l="1"/>
  <c r="V866" i="3"/>
  <c r="W866" i="3" s="1"/>
  <c r="A867" i="3"/>
  <c r="B867" i="3" s="1"/>
  <c r="Z867" i="3" l="1"/>
  <c r="AA867" i="3"/>
  <c r="P867" i="3"/>
  <c r="Q867" i="3" s="1"/>
  <c r="R867" i="3" s="1"/>
  <c r="S867" i="3" s="1"/>
  <c r="AC867" i="3"/>
  <c r="AD867" i="3"/>
  <c r="U866" i="3"/>
  <c r="Y865" i="3"/>
  <c r="T867" i="3" l="1"/>
  <c r="D867" i="3" s="1"/>
  <c r="AG867" i="3" l="1"/>
  <c r="E867" i="3"/>
  <c r="H867" i="3" s="1"/>
  <c r="K867" i="3" s="1"/>
  <c r="AE867" i="3" s="1"/>
  <c r="AH867" i="3"/>
  <c r="G867" i="3"/>
  <c r="F867" i="3" l="1"/>
  <c r="I867" i="3"/>
  <c r="J867" i="3"/>
  <c r="M867" i="3"/>
  <c r="N867" i="3" s="1"/>
  <c r="V867" i="3"/>
  <c r="A868" i="3"/>
  <c r="B868" i="3" s="1"/>
  <c r="W867" i="3" l="1"/>
  <c r="L867" i="3"/>
  <c r="AD868" i="3"/>
  <c r="Z868" i="3"/>
  <c r="AA868" i="3"/>
  <c r="AC868" i="3"/>
  <c r="P868" i="3"/>
  <c r="Q868" i="3" s="1"/>
  <c r="R868" i="3" s="1"/>
  <c r="S868" i="3" s="1"/>
  <c r="T868" i="3" l="1"/>
  <c r="U867" i="3"/>
  <c r="Y866" i="3"/>
  <c r="E868" i="3" l="1"/>
  <c r="H868" i="3" s="1"/>
  <c r="K868" i="3" s="1"/>
  <c r="AE868" i="3" s="1"/>
  <c r="AH868" i="3"/>
  <c r="D868" i="3"/>
  <c r="G868" i="3" s="1"/>
  <c r="AG868" i="3"/>
  <c r="F868" i="3" l="1"/>
  <c r="I868" i="3"/>
  <c r="J868" i="3"/>
  <c r="M868" i="3"/>
  <c r="N868" i="3" s="1"/>
  <c r="V868" i="3"/>
  <c r="A869" i="3"/>
  <c r="B869" i="3" s="1"/>
  <c r="W868" i="3" l="1"/>
  <c r="L868" i="3"/>
  <c r="P869" i="3"/>
  <c r="Q869" i="3" s="1"/>
  <c r="R869" i="3" s="1"/>
  <c r="S869" i="3" s="1"/>
  <c r="Z869" i="3"/>
  <c r="AC869" i="3"/>
  <c r="AA869" i="3"/>
  <c r="AD869" i="3"/>
  <c r="T869" i="3" l="1"/>
  <c r="U868" i="3"/>
  <c r="Y867" i="3"/>
  <c r="E869" i="3" l="1"/>
  <c r="H869" i="3" s="1"/>
  <c r="K869" i="3" s="1"/>
  <c r="AE869" i="3" s="1"/>
  <c r="AG869" i="3"/>
  <c r="D869" i="3"/>
  <c r="AH869" i="3"/>
  <c r="V869" i="3" l="1"/>
  <c r="A870" i="3"/>
  <c r="B870" i="3" s="1"/>
  <c r="F869" i="3"/>
  <c r="G869" i="3"/>
  <c r="I869" i="3" l="1"/>
  <c r="W869" i="3" s="1"/>
  <c r="J869" i="3"/>
  <c r="M869" i="3"/>
  <c r="N869" i="3" s="1"/>
  <c r="AD870" i="3"/>
  <c r="Z870" i="3"/>
  <c r="AA870" i="3"/>
  <c r="P870" i="3"/>
  <c r="Q870" i="3" s="1"/>
  <c r="R870" i="3" s="1"/>
  <c r="S870" i="3" s="1"/>
  <c r="AC870" i="3"/>
  <c r="L869" i="3" l="1"/>
  <c r="T870" i="3"/>
  <c r="U869" i="3" l="1"/>
  <c r="E870" i="3" s="1"/>
  <c r="H870" i="3" s="1"/>
  <c r="AH870" i="3"/>
  <c r="AG870" i="3"/>
  <c r="Y868" i="3"/>
  <c r="D870" i="3" l="1"/>
  <c r="G870" i="3" s="1"/>
  <c r="K870" i="3"/>
  <c r="AE870" i="3" s="1"/>
  <c r="F870" i="3" l="1"/>
  <c r="V870" i="3"/>
  <c r="A871" i="3"/>
  <c r="B871" i="3" s="1"/>
  <c r="I870" i="3"/>
  <c r="J870" i="3"/>
  <c r="M870" i="3"/>
  <c r="N870" i="3" s="1"/>
  <c r="W870" i="3" l="1"/>
  <c r="L870" i="3"/>
  <c r="Z871" i="3"/>
  <c r="P871" i="3"/>
  <c r="Q871" i="3" s="1"/>
  <c r="R871" i="3" s="1"/>
  <c r="S871" i="3" s="1"/>
  <c r="AD871" i="3"/>
  <c r="AA871" i="3"/>
  <c r="AC871" i="3"/>
  <c r="T871" i="3" l="1"/>
  <c r="AH871" i="3" s="1"/>
  <c r="U870" i="3"/>
  <c r="Y869" i="3"/>
  <c r="E871" i="3" l="1"/>
  <c r="H871" i="3" s="1"/>
  <c r="K871" i="3" s="1"/>
  <c r="AE871" i="3" s="1"/>
  <c r="AG871" i="3"/>
  <c r="D871" i="3"/>
  <c r="F871" i="3" l="1"/>
  <c r="G871" i="3"/>
  <c r="V871" i="3"/>
  <c r="A872" i="3"/>
  <c r="B872" i="3" s="1"/>
  <c r="AC872" i="3" l="1"/>
  <c r="AA872" i="3"/>
  <c r="P872" i="3"/>
  <c r="Q872" i="3" s="1"/>
  <c r="R872" i="3" s="1"/>
  <c r="S872" i="3" s="1"/>
  <c r="Z872" i="3"/>
  <c r="AD872" i="3"/>
  <c r="I871" i="3"/>
  <c r="W871" i="3" s="1"/>
  <c r="J871" i="3"/>
  <c r="M871" i="3"/>
  <c r="N871" i="3" s="1"/>
  <c r="L871" i="3" l="1"/>
  <c r="T872" i="3"/>
  <c r="AG872" i="3" l="1"/>
  <c r="AH872" i="3"/>
  <c r="U871" i="3"/>
  <c r="E872" i="3" s="1"/>
  <c r="H872" i="3" s="1"/>
  <c r="Y870" i="3"/>
  <c r="D872" i="3" l="1"/>
  <c r="G872" i="3" s="1"/>
  <c r="K872" i="3"/>
  <c r="AE872" i="3" s="1"/>
  <c r="F872" i="3" l="1"/>
  <c r="I872" i="3"/>
  <c r="J872" i="3"/>
  <c r="M872" i="3"/>
  <c r="N872" i="3" s="1"/>
  <c r="V872" i="3"/>
  <c r="A873" i="3"/>
  <c r="B873" i="3" s="1"/>
  <c r="W872" i="3" l="1"/>
  <c r="L872" i="3"/>
  <c r="AA873" i="3"/>
  <c r="AC873" i="3"/>
  <c r="AD873" i="3"/>
  <c r="P873" i="3"/>
  <c r="Q873" i="3" s="1"/>
  <c r="R873" i="3" s="1"/>
  <c r="S873" i="3" s="1"/>
  <c r="Z873" i="3"/>
  <c r="T873" i="3" l="1"/>
  <c r="AH873" i="3" s="1"/>
  <c r="U872" i="3"/>
  <c r="Y871" i="3"/>
  <c r="AG873" i="3" l="1"/>
  <c r="E873" i="3"/>
  <c r="H873" i="3" s="1"/>
  <c r="D873" i="3"/>
  <c r="K873" i="3" l="1"/>
  <c r="AE873" i="3" s="1"/>
  <c r="F873" i="3"/>
  <c r="G873" i="3"/>
  <c r="I873" i="3" l="1"/>
  <c r="J873" i="3"/>
  <c r="M873" i="3"/>
  <c r="N873" i="3" s="1"/>
  <c r="V873" i="3"/>
  <c r="A874" i="3"/>
  <c r="B874" i="3" s="1"/>
  <c r="W873" i="3" l="1"/>
  <c r="L873" i="3"/>
  <c r="AA874" i="3"/>
  <c r="P874" i="3"/>
  <c r="Q874" i="3" s="1"/>
  <c r="R874" i="3" s="1"/>
  <c r="S874" i="3" s="1"/>
  <c r="Z874" i="3"/>
  <c r="AC874" i="3"/>
  <c r="T874" i="3" l="1"/>
  <c r="AH874" i="3" s="1"/>
  <c r="U873" i="3"/>
  <c r="Y872" i="3"/>
  <c r="E874" i="3" l="1"/>
  <c r="H874" i="3" s="1"/>
  <c r="D874" i="3"/>
  <c r="AG874" i="3"/>
  <c r="K874" i="3" l="1"/>
  <c r="AE874" i="3" s="1"/>
  <c r="F874" i="3"/>
  <c r="G874" i="3"/>
  <c r="I874" i="3" l="1"/>
  <c r="J874" i="3"/>
  <c r="AD874" i="3" s="1"/>
  <c r="M874" i="3"/>
  <c r="N874" i="3" s="1"/>
  <c r="V874" i="3"/>
  <c r="A875" i="3"/>
  <c r="B875" i="3" s="1"/>
  <c r="W874" i="3" l="1"/>
  <c r="L874" i="3"/>
  <c r="AA875" i="3"/>
  <c r="Z875" i="3"/>
  <c r="P875" i="3"/>
  <c r="Q875" i="3" s="1"/>
  <c r="R875" i="3" s="1"/>
  <c r="S875" i="3" s="1"/>
  <c r="AD875" i="3"/>
  <c r="AC875" i="3"/>
  <c r="T875" i="3" l="1"/>
  <c r="U874" i="3"/>
  <c r="Y873" i="3"/>
  <c r="D875" i="3" l="1"/>
  <c r="G875" i="3" s="1"/>
  <c r="E875" i="3"/>
  <c r="H875" i="3" s="1"/>
  <c r="K875" i="3" s="1"/>
  <c r="AE875" i="3" s="1"/>
  <c r="AH875" i="3"/>
  <c r="AG875" i="3"/>
  <c r="F875" i="3" l="1"/>
  <c r="V875" i="3"/>
  <c r="A876" i="3"/>
  <c r="B876" i="3" s="1"/>
  <c r="I875" i="3"/>
  <c r="J875" i="3"/>
  <c r="M875" i="3"/>
  <c r="N875" i="3" s="1"/>
  <c r="W875" i="3" l="1"/>
  <c r="L875" i="3"/>
  <c r="AC876" i="3"/>
  <c r="P876" i="3"/>
  <c r="Q876" i="3" s="1"/>
  <c r="R876" i="3" s="1"/>
  <c r="S876" i="3" s="1"/>
  <c r="Z876" i="3"/>
  <c r="AA876" i="3"/>
  <c r="AD876" i="3"/>
  <c r="U875" i="3" l="1"/>
  <c r="Y874" i="3"/>
  <c r="T876" i="3"/>
  <c r="AG876" i="3" s="1"/>
  <c r="D876" i="3" l="1"/>
  <c r="E876" i="3"/>
  <c r="H876" i="3" s="1"/>
  <c r="AH876" i="3"/>
  <c r="K876" i="3" l="1"/>
  <c r="AE876" i="3" s="1"/>
  <c r="F876" i="3"/>
  <c r="G876" i="3"/>
  <c r="I876" i="3" l="1"/>
  <c r="J876" i="3"/>
  <c r="M876" i="3"/>
  <c r="N876" i="3" s="1"/>
  <c r="V876" i="3"/>
  <c r="A877" i="3"/>
  <c r="B877" i="3" s="1"/>
  <c r="W876" i="3" l="1"/>
  <c r="L876" i="3"/>
  <c r="P877" i="3"/>
  <c r="Q877" i="3" s="1"/>
  <c r="R877" i="3" s="1"/>
  <c r="S877" i="3" s="1"/>
  <c r="AA877" i="3"/>
  <c r="Z877" i="3"/>
  <c r="AD877" i="3"/>
  <c r="AC877" i="3"/>
  <c r="U876" i="3" l="1"/>
  <c r="Y875" i="3"/>
  <c r="T877" i="3"/>
  <c r="D877" i="3" l="1"/>
  <c r="G877" i="3" s="1"/>
  <c r="AH877" i="3"/>
  <c r="AG877" i="3"/>
  <c r="E877" i="3"/>
  <c r="H877" i="3" s="1"/>
  <c r="I877" i="3" l="1"/>
  <c r="J877" i="3"/>
  <c r="M877" i="3"/>
  <c r="N877" i="3" s="1"/>
  <c r="K877" i="3"/>
  <c r="AE877" i="3" s="1"/>
  <c r="F877" i="3"/>
  <c r="V877" i="3" l="1"/>
  <c r="W877" i="3" s="1"/>
  <c r="A878" i="3"/>
  <c r="B878" i="3" s="1"/>
  <c r="L877" i="3"/>
  <c r="U877" i="3" l="1"/>
  <c r="Y876" i="3"/>
  <c r="Z878" i="3"/>
  <c r="AD878" i="3"/>
  <c r="AC878" i="3"/>
  <c r="AA878" i="3"/>
  <c r="P878" i="3"/>
  <c r="Q878" i="3" s="1"/>
  <c r="R878" i="3" s="1"/>
  <c r="S878" i="3" s="1"/>
  <c r="T878" i="3" l="1"/>
  <c r="E878" i="3" s="1"/>
  <c r="H878" i="3" s="1"/>
  <c r="D878" i="3" l="1"/>
  <c r="G878" i="3" s="1"/>
  <c r="AG878" i="3"/>
  <c r="AH878" i="3"/>
  <c r="K878" i="3"/>
  <c r="AE878" i="3" s="1"/>
  <c r="F878" i="3" l="1"/>
  <c r="I878" i="3"/>
  <c r="J878" i="3"/>
  <c r="M878" i="3"/>
  <c r="N878" i="3" s="1"/>
  <c r="V878" i="3"/>
  <c r="A879" i="3"/>
  <c r="B879" i="3" s="1"/>
  <c r="W878" i="3" l="1"/>
  <c r="L878" i="3"/>
  <c r="AC879" i="3"/>
  <c r="AD879" i="3"/>
  <c r="P879" i="3"/>
  <c r="Q879" i="3" s="1"/>
  <c r="R879" i="3" s="1"/>
  <c r="S879" i="3" s="1"/>
  <c r="AA879" i="3"/>
  <c r="Z879" i="3"/>
  <c r="T879" i="3" l="1"/>
  <c r="AG879" i="3" s="1"/>
  <c r="U878" i="3"/>
  <c r="Y877" i="3"/>
  <c r="E879" i="3" l="1"/>
  <c r="H879" i="3" s="1"/>
  <c r="D879" i="3"/>
  <c r="AH879" i="3"/>
  <c r="F879" i="3" l="1"/>
  <c r="G879" i="3"/>
  <c r="K879" i="3"/>
  <c r="AE879" i="3" s="1"/>
  <c r="I879" i="3" l="1"/>
  <c r="J879" i="3"/>
  <c r="M879" i="3"/>
  <c r="N879" i="3" s="1"/>
  <c r="V879" i="3"/>
  <c r="A880" i="3"/>
  <c r="B880" i="3" s="1"/>
  <c r="W879" i="3" l="1"/>
  <c r="L879" i="3"/>
  <c r="AD880" i="3"/>
  <c r="AA880" i="3"/>
  <c r="AC880" i="3"/>
  <c r="Z880" i="3"/>
  <c r="P880" i="3"/>
  <c r="Q880" i="3" s="1"/>
  <c r="R880" i="3" s="1"/>
  <c r="S880" i="3" s="1"/>
  <c r="T880" i="3" l="1"/>
  <c r="AG880" i="3" s="1"/>
  <c r="U879" i="3"/>
  <c r="Y878" i="3"/>
  <c r="D880" i="3" l="1"/>
  <c r="AH880" i="3"/>
  <c r="E880" i="3"/>
  <c r="H880" i="3" s="1"/>
  <c r="F880" i="3" l="1"/>
  <c r="G880" i="3"/>
  <c r="K880" i="3"/>
  <c r="AE880" i="3" s="1"/>
  <c r="V880" i="3" l="1"/>
  <c r="A881" i="3"/>
  <c r="B881" i="3" s="1"/>
  <c r="I880" i="3"/>
  <c r="J880" i="3"/>
  <c r="M880" i="3"/>
  <c r="N880" i="3" s="1"/>
  <c r="W880" i="3" l="1"/>
  <c r="L880" i="3"/>
  <c r="AA881" i="3"/>
  <c r="AD881" i="3"/>
  <c r="P881" i="3"/>
  <c r="Q881" i="3" s="1"/>
  <c r="R881" i="3" s="1"/>
  <c r="S881" i="3" s="1"/>
  <c r="Z881" i="3"/>
  <c r="AC881" i="3"/>
  <c r="U880" i="3" l="1"/>
  <c r="Y879" i="3"/>
  <c r="T881" i="3"/>
  <c r="E881" i="3" l="1"/>
  <c r="H881" i="3" s="1"/>
  <c r="K881" i="3" s="1"/>
  <c r="AE881" i="3" s="1"/>
  <c r="D881" i="3"/>
  <c r="AG881" i="3"/>
  <c r="AH881" i="3"/>
  <c r="F881" i="3" l="1"/>
  <c r="G881" i="3"/>
  <c r="I881" i="3" s="1"/>
  <c r="V881" i="3"/>
  <c r="A882" i="3"/>
  <c r="B882" i="3" s="1"/>
  <c r="W881" i="3" l="1"/>
  <c r="M881" i="3"/>
  <c r="N881" i="3" s="1"/>
  <c r="J881" i="3"/>
  <c r="L881" i="3" s="1"/>
  <c r="Z882" i="3"/>
  <c r="P882" i="3"/>
  <c r="Q882" i="3" s="1"/>
  <c r="R882" i="3" s="1"/>
  <c r="S882" i="3" s="1"/>
  <c r="AD882" i="3"/>
  <c r="AC882" i="3"/>
  <c r="AA882" i="3"/>
  <c r="T882" i="3" l="1"/>
  <c r="AG882" i="3" s="1"/>
  <c r="U881" i="3"/>
  <c r="Y880" i="3"/>
  <c r="AH882" i="3" l="1"/>
  <c r="D882" i="3"/>
  <c r="E882" i="3"/>
  <c r="H882" i="3" s="1"/>
  <c r="F882" i="3" l="1"/>
  <c r="G882" i="3"/>
  <c r="K882" i="3"/>
  <c r="AE882" i="3" s="1"/>
  <c r="I882" i="3" l="1"/>
  <c r="J882" i="3"/>
  <c r="M882" i="3"/>
  <c r="N882" i="3" s="1"/>
  <c r="V882" i="3"/>
  <c r="A883" i="3"/>
  <c r="B883" i="3" s="1"/>
  <c r="W882" i="3" l="1"/>
  <c r="L882" i="3"/>
  <c r="AC883" i="3"/>
  <c r="AA883" i="3"/>
  <c r="Z883" i="3"/>
  <c r="AD883" i="3"/>
  <c r="P883" i="3"/>
  <c r="Q883" i="3" s="1"/>
  <c r="R883" i="3" s="1"/>
  <c r="S883" i="3" s="1"/>
  <c r="T883" i="3" l="1"/>
  <c r="AG883" i="3" s="1"/>
  <c r="U882" i="3"/>
  <c r="Y881" i="3"/>
  <c r="E883" i="3" l="1"/>
  <c r="H883" i="3" s="1"/>
  <c r="K883" i="3" s="1"/>
  <c r="AE883" i="3" s="1"/>
  <c r="D883" i="3"/>
  <c r="AH883" i="3"/>
  <c r="V883" i="3" l="1"/>
  <c r="A884" i="3"/>
  <c r="B884" i="3" s="1"/>
  <c r="F883" i="3"/>
  <c r="G883" i="3"/>
  <c r="I883" i="3" l="1"/>
  <c r="W883" i="3" s="1"/>
  <c r="J883" i="3"/>
  <c r="M883" i="3"/>
  <c r="N883" i="3" s="1"/>
  <c r="AA884" i="3"/>
  <c r="Z884" i="3"/>
  <c r="P884" i="3"/>
  <c r="Q884" i="3" s="1"/>
  <c r="R884" i="3" s="1"/>
  <c r="S884" i="3" s="1"/>
  <c r="AC884" i="3"/>
  <c r="T884" i="3" l="1"/>
  <c r="L883" i="3"/>
  <c r="AG884" i="3" l="1"/>
  <c r="U883" i="3"/>
  <c r="D884" i="3" s="1"/>
  <c r="AH884" i="3"/>
  <c r="Y882" i="3"/>
  <c r="E884" i="3" l="1"/>
  <c r="H884" i="3" s="1"/>
  <c r="K884" i="3" s="1"/>
  <c r="AE884" i="3" s="1"/>
  <c r="G884" i="3"/>
  <c r="F884" i="3" l="1"/>
  <c r="V884" i="3"/>
  <c r="A885" i="3"/>
  <c r="B885" i="3" s="1"/>
  <c r="I884" i="3"/>
  <c r="J884" i="3"/>
  <c r="AD884" i="3" s="1"/>
  <c r="M884" i="3"/>
  <c r="N884" i="3" s="1"/>
  <c r="W884" i="3" l="1"/>
  <c r="L884" i="3"/>
  <c r="P885" i="3"/>
  <c r="Q885" i="3" s="1"/>
  <c r="R885" i="3" s="1"/>
  <c r="S885" i="3" s="1"/>
  <c r="AD885" i="3"/>
  <c r="Z885" i="3"/>
  <c r="AC885" i="3"/>
  <c r="AA885" i="3"/>
  <c r="U884" i="3" l="1"/>
  <c r="Y883" i="3"/>
  <c r="T885" i="3"/>
  <c r="AH885" i="3" s="1"/>
  <c r="D885" i="3" l="1"/>
  <c r="G885" i="3" s="1"/>
  <c r="E885" i="3"/>
  <c r="H885" i="3" s="1"/>
  <c r="K885" i="3" s="1"/>
  <c r="AE885" i="3" s="1"/>
  <c r="AG885" i="3"/>
  <c r="F885" i="3" l="1"/>
  <c r="V885" i="3"/>
  <c r="A886" i="3"/>
  <c r="B886" i="3" s="1"/>
  <c r="I885" i="3"/>
  <c r="J885" i="3"/>
  <c r="M885" i="3"/>
  <c r="N885" i="3" s="1"/>
  <c r="W885" i="3" l="1"/>
  <c r="L885" i="3"/>
  <c r="P886" i="3"/>
  <c r="Q886" i="3" s="1"/>
  <c r="R886" i="3" s="1"/>
  <c r="S886" i="3" s="1"/>
  <c r="AA886" i="3"/>
  <c r="AC886" i="3"/>
  <c r="AD886" i="3"/>
  <c r="Z886" i="3"/>
  <c r="U885" i="3" l="1"/>
  <c r="Y884" i="3"/>
  <c r="T886" i="3"/>
  <c r="E886" i="3" l="1"/>
  <c r="H886" i="3" s="1"/>
  <c r="K886" i="3" s="1"/>
  <c r="AE886" i="3" s="1"/>
  <c r="AH886" i="3"/>
  <c r="AG886" i="3"/>
  <c r="D886" i="3"/>
  <c r="F886" i="3" l="1"/>
  <c r="G886" i="3"/>
  <c r="V886" i="3"/>
  <c r="A887" i="3"/>
  <c r="B887" i="3" s="1"/>
  <c r="I886" i="3" l="1"/>
  <c r="W886" i="3" s="1"/>
  <c r="J886" i="3"/>
  <c r="M886" i="3"/>
  <c r="N886" i="3" s="1"/>
  <c r="P887" i="3"/>
  <c r="Q887" i="3" s="1"/>
  <c r="R887" i="3" s="1"/>
  <c r="S887" i="3" s="1"/>
  <c r="Z887" i="3"/>
  <c r="AD887" i="3"/>
  <c r="AA887" i="3"/>
  <c r="AC887" i="3"/>
  <c r="T887" i="3" l="1"/>
  <c r="L886" i="3"/>
  <c r="AG887" i="3" l="1"/>
  <c r="AH887" i="3"/>
  <c r="U886" i="3"/>
  <c r="D887" i="3" s="1"/>
  <c r="Y885" i="3"/>
  <c r="E887" i="3" l="1"/>
  <c r="H887" i="3" s="1"/>
  <c r="K887" i="3" s="1"/>
  <c r="AE887" i="3" s="1"/>
  <c r="G887" i="3"/>
  <c r="F887" i="3" l="1"/>
  <c r="I887" i="3"/>
  <c r="J887" i="3"/>
  <c r="M887" i="3"/>
  <c r="N887" i="3" s="1"/>
  <c r="V887" i="3"/>
  <c r="A888" i="3"/>
  <c r="B888" i="3" s="1"/>
  <c r="W887" i="3" l="1"/>
  <c r="L887" i="3"/>
  <c r="AC888" i="3"/>
  <c r="AD888" i="3"/>
  <c r="AA888" i="3"/>
  <c r="Z888" i="3"/>
  <c r="P888" i="3"/>
  <c r="Q888" i="3" s="1"/>
  <c r="R888" i="3" s="1"/>
  <c r="S888" i="3" s="1"/>
  <c r="T888" i="3" l="1"/>
  <c r="U887" i="3"/>
  <c r="Y886" i="3"/>
  <c r="E888" i="3" l="1"/>
  <c r="H888" i="3" s="1"/>
  <c r="K888" i="3" s="1"/>
  <c r="AE888" i="3" s="1"/>
  <c r="D888" i="3"/>
  <c r="G888" i="3" s="1"/>
  <c r="AG888" i="3"/>
  <c r="AH888" i="3"/>
  <c r="F888" i="3" l="1"/>
  <c r="I888" i="3"/>
  <c r="J888" i="3"/>
  <c r="M888" i="3"/>
  <c r="N888" i="3" s="1"/>
  <c r="V888" i="3"/>
  <c r="A889" i="3"/>
  <c r="B889" i="3" s="1"/>
  <c r="W888" i="3" l="1"/>
  <c r="L888" i="3"/>
  <c r="AA889" i="3"/>
  <c r="Z889" i="3"/>
  <c r="AD889" i="3"/>
  <c r="P889" i="3"/>
  <c r="Q889" i="3" s="1"/>
  <c r="R889" i="3" s="1"/>
  <c r="S889" i="3" s="1"/>
  <c r="AC889" i="3"/>
  <c r="T889" i="3" l="1"/>
  <c r="AG889" i="3" s="1"/>
  <c r="U888" i="3"/>
  <c r="Y887" i="3"/>
  <c r="AH889" i="3" l="1"/>
  <c r="D889" i="3"/>
  <c r="G889" i="3" s="1"/>
  <c r="E889" i="3"/>
  <c r="H889" i="3" s="1"/>
  <c r="I889" i="3" l="1"/>
  <c r="J889" i="3"/>
  <c r="M889" i="3"/>
  <c r="N889" i="3" s="1"/>
  <c r="K889" i="3"/>
  <c r="AE889" i="3" s="1"/>
  <c r="F889" i="3"/>
  <c r="L889" i="3" l="1"/>
  <c r="V889" i="3"/>
  <c r="W889" i="3" s="1"/>
  <c r="A890" i="3"/>
  <c r="B890" i="3" s="1"/>
  <c r="AA890" i="3" l="1"/>
  <c r="P890" i="3"/>
  <c r="Q890" i="3" s="1"/>
  <c r="R890" i="3" s="1"/>
  <c r="S890" i="3" s="1"/>
  <c r="Z890" i="3"/>
  <c r="AC890" i="3"/>
  <c r="AD890" i="3"/>
  <c r="U889" i="3"/>
  <c r="Y888" i="3"/>
  <c r="T890" i="3" l="1"/>
  <c r="AG890" i="3" s="1"/>
  <c r="E890" i="3" l="1"/>
  <c r="H890" i="3" s="1"/>
  <c r="K890" i="3" s="1"/>
  <c r="AE890" i="3" s="1"/>
  <c r="AH890" i="3"/>
  <c r="D890" i="3"/>
  <c r="F890" i="3" l="1"/>
  <c r="G890" i="3"/>
  <c r="V890" i="3"/>
  <c r="A891" i="3"/>
  <c r="B891" i="3" s="1"/>
  <c r="AD891" i="3" l="1"/>
  <c r="P891" i="3"/>
  <c r="Q891" i="3" s="1"/>
  <c r="R891" i="3" s="1"/>
  <c r="S891" i="3" s="1"/>
  <c r="AC891" i="3"/>
  <c r="Z891" i="3"/>
  <c r="AA891" i="3"/>
  <c r="I890" i="3"/>
  <c r="W890" i="3" s="1"/>
  <c r="J890" i="3"/>
  <c r="M890" i="3"/>
  <c r="N890" i="3" s="1"/>
  <c r="L890" i="3" l="1"/>
  <c r="T891" i="3"/>
  <c r="U890" i="3" l="1"/>
  <c r="D891" i="3" s="1"/>
  <c r="AH891" i="3"/>
  <c r="AG891" i="3"/>
  <c r="Y889" i="3"/>
  <c r="E891" i="3" l="1"/>
  <c r="H891" i="3" s="1"/>
  <c r="K891" i="3" s="1"/>
  <c r="AE891" i="3" s="1"/>
  <c r="G891" i="3"/>
  <c r="F891" i="3" l="1"/>
  <c r="I891" i="3"/>
  <c r="J891" i="3"/>
  <c r="M891" i="3"/>
  <c r="N891" i="3" s="1"/>
  <c r="V891" i="3"/>
  <c r="A892" i="3"/>
  <c r="B892" i="3" s="1"/>
  <c r="W891" i="3" l="1"/>
  <c r="L891" i="3"/>
  <c r="P892" i="3"/>
  <c r="Q892" i="3" s="1"/>
  <c r="R892" i="3" s="1"/>
  <c r="S892" i="3" s="1"/>
  <c r="AC892" i="3"/>
  <c r="AD892" i="3"/>
  <c r="Z892" i="3"/>
  <c r="AA892" i="3"/>
  <c r="U891" i="3" l="1"/>
  <c r="Y890" i="3"/>
  <c r="T892" i="3"/>
  <c r="AG892" i="3" s="1"/>
  <c r="AH892" i="3" l="1"/>
  <c r="D892" i="3"/>
  <c r="G892" i="3" s="1"/>
  <c r="E892" i="3"/>
  <c r="H892" i="3" s="1"/>
  <c r="F892" i="3" l="1"/>
  <c r="I892" i="3"/>
  <c r="J892" i="3"/>
  <c r="M892" i="3"/>
  <c r="N892" i="3" s="1"/>
  <c r="K892" i="3"/>
  <c r="AE892" i="3" s="1"/>
  <c r="V892" i="3" l="1"/>
  <c r="W892" i="3" s="1"/>
  <c r="A893" i="3"/>
  <c r="B893" i="3" s="1"/>
  <c r="L892" i="3"/>
  <c r="U892" i="3" l="1"/>
  <c r="Y891" i="3"/>
  <c r="AC893" i="3"/>
  <c r="P893" i="3"/>
  <c r="Q893" i="3" s="1"/>
  <c r="R893" i="3" s="1"/>
  <c r="S893" i="3" s="1"/>
  <c r="AD893" i="3"/>
  <c r="AA893" i="3"/>
  <c r="Z893" i="3"/>
  <c r="T893" i="3" l="1"/>
  <c r="E893" i="3" s="1"/>
  <c r="H893" i="3" s="1"/>
  <c r="AH893" i="3" l="1"/>
  <c r="D893" i="3"/>
  <c r="F893" i="3" s="1"/>
  <c r="AG893" i="3"/>
  <c r="K893" i="3"/>
  <c r="AE893" i="3" s="1"/>
  <c r="G893" i="3" l="1"/>
  <c r="M893" i="3" s="1"/>
  <c r="N893" i="3" s="1"/>
  <c r="V893" i="3"/>
  <c r="A894" i="3"/>
  <c r="B894" i="3" s="1"/>
  <c r="I893" i="3" l="1"/>
  <c r="W893" i="3" s="1"/>
  <c r="J893" i="3"/>
  <c r="L893" i="3" s="1"/>
  <c r="Z894" i="3"/>
  <c r="P894" i="3"/>
  <c r="Q894" i="3" s="1"/>
  <c r="R894" i="3" s="1"/>
  <c r="S894" i="3" s="1"/>
  <c r="AC894" i="3"/>
  <c r="AA894" i="3"/>
  <c r="U893" i="3" l="1"/>
  <c r="Y892" i="3"/>
  <c r="T894" i="3"/>
  <c r="AH894" i="3" s="1"/>
  <c r="D894" i="3" l="1"/>
  <c r="G894" i="3" s="1"/>
  <c r="AG894" i="3"/>
  <c r="E894" i="3"/>
  <c r="H894" i="3" s="1"/>
  <c r="F894" i="3" l="1"/>
  <c r="I894" i="3"/>
  <c r="J894" i="3"/>
  <c r="AD894" i="3" s="1"/>
  <c r="M894" i="3"/>
  <c r="N894" i="3" s="1"/>
  <c r="K894" i="3"/>
  <c r="AE894" i="3" s="1"/>
  <c r="V894" i="3" l="1"/>
  <c r="W894" i="3" s="1"/>
  <c r="A895" i="3"/>
  <c r="B895" i="3" s="1"/>
  <c r="L894" i="3"/>
  <c r="U894" i="3" l="1"/>
  <c r="Y893" i="3"/>
  <c r="AD895" i="3"/>
  <c r="P895" i="3"/>
  <c r="Q895" i="3" s="1"/>
  <c r="R895" i="3" s="1"/>
  <c r="S895" i="3" s="1"/>
  <c r="AA895" i="3"/>
  <c r="AC895" i="3"/>
  <c r="Z895" i="3"/>
  <c r="T895" i="3" l="1"/>
  <c r="AH895" i="3" s="1"/>
  <c r="E895" i="3" l="1"/>
  <c r="H895" i="3" s="1"/>
  <c r="K895" i="3" s="1"/>
  <c r="AE895" i="3" s="1"/>
  <c r="D895" i="3"/>
  <c r="AG895" i="3"/>
  <c r="F895" i="3" l="1"/>
  <c r="G895" i="3"/>
  <c r="V895" i="3"/>
  <c r="A896" i="3"/>
  <c r="B896" i="3" s="1"/>
  <c r="I895" i="3" l="1"/>
  <c r="W895" i="3" s="1"/>
  <c r="J895" i="3"/>
  <c r="M895" i="3"/>
  <c r="N895" i="3" s="1"/>
  <c r="Z896" i="3"/>
  <c r="P896" i="3"/>
  <c r="Q896" i="3" s="1"/>
  <c r="R896" i="3" s="1"/>
  <c r="S896" i="3" s="1"/>
  <c r="AC896" i="3"/>
  <c r="AD896" i="3"/>
  <c r="AA896" i="3"/>
  <c r="T896" i="3" l="1"/>
  <c r="L895" i="3"/>
  <c r="AG896" i="3" l="1"/>
  <c r="AH896" i="3"/>
  <c r="U895" i="3"/>
  <c r="E896" i="3" s="1"/>
  <c r="H896" i="3" s="1"/>
  <c r="Y894" i="3"/>
  <c r="D896" i="3" l="1"/>
  <c r="G896" i="3" s="1"/>
  <c r="K896" i="3"/>
  <c r="AE896" i="3" s="1"/>
  <c r="F896" i="3" l="1"/>
  <c r="V896" i="3"/>
  <c r="A897" i="3"/>
  <c r="B897" i="3" s="1"/>
  <c r="I896" i="3"/>
  <c r="J896" i="3"/>
  <c r="M896" i="3"/>
  <c r="N896" i="3" s="1"/>
  <c r="W896" i="3" l="1"/>
  <c r="L896" i="3"/>
  <c r="Z897" i="3"/>
  <c r="AC897" i="3"/>
  <c r="AA897" i="3"/>
  <c r="P897" i="3"/>
  <c r="Q897" i="3" s="1"/>
  <c r="R897" i="3" s="1"/>
  <c r="S897" i="3" s="1"/>
  <c r="AD897" i="3"/>
  <c r="U896" i="3" l="1"/>
  <c r="Y895" i="3"/>
  <c r="T897" i="3"/>
  <c r="D897" i="3" l="1"/>
  <c r="E897" i="3"/>
  <c r="H897" i="3" s="1"/>
  <c r="AH897" i="3"/>
  <c r="AG897" i="3"/>
  <c r="F897" i="3" l="1"/>
  <c r="G897" i="3"/>
  <c r="M897" i="3" s="1"/>
  <c r="N897" i="3" s="1"/>
  <c r="K897" i="3"/>
  <c r="AE897" i="3" s="1"/>
  <c r="I897" i="3" l="1"/>
  <c r="J897" i="3"/>
  <c r="L897" i="3" s="1"/>
  <c r="V897" i="3"/>
  <c r="A898" i="3"/>
  <c r="B898" i="3" s="1"/>
  <c r="W897" i="3" l="1"/>
  <c r="AA898" i="3"/>
  <c r="AD898" i="3"/>
  <c r="P898" i="3"/>
  <c r="Q898" i="3" s="1"/>
  <c r="R898" i="3" s="1"/>
  <c r="S898" i="3" s="1"/>
  <c r="Z898" i="3"/>
  <c r="AC898" i="3"/>
  <c r="U897" i="3"/>
  <c r="Y896" i="3"/>
  <c r="T898" i="3" l="1"/>
  <c r="D898" i="3" s="1"/>
  <c r="G898" i="3" l="1"/>
  <c r="AG898" i="3"/>
  <c r="E898" i="3"/>
  <c r="H898" i="3" s="1"/>
  <c r="AH898" i="3"/>
  <c r="F898" i="3" l="1"/>
  <c r="I898" i="3"/>
  <c r="J898" i="3"/>
  <c r="M898" i="3"/>
  <c r="N898" i="3" s="1"/>
  <c r="K898" i="3"/>
  <c r="AE898" i="3" s="1"/>
  <c r="V898" i="3" l="1"/>
  <c r="W898" i="3" s="1"/>
  <c r="A899" i="3"/>
  <c r="B899" i="3" s="1"/>
  <c r="L898" i="3"/>
  <c r="U898" i="3" l="1"/>
  <c r="Y897" i="3"/>
  <c r="AC899" i="3"/>
  <c r="Z899" i="3"/>
  <c r="P899" i="3"/>
  <c r="Q899" i="3" s="1"/>
  <c r="R899" i="3" s="1"/>
  <c r="S899" i="3" s="1"/>
  <c r="AD899" i="3"/>
  <c r="AA899" i="3"/>
  <c r="T899" i="3" l="1"/>
  <c r="E899" i="3" s="1"/>
  <c r="H899" i="3" s="1"/>
  <c r="D899" i="3" l="1"/>
  <c r="G899" i="3" s="1"/>
  <c r="AG899" i="3"/>
  <c r="AH899" i="3"/>
  <c r="K899" i="3"/>
  <c r="AE899" i="3" s="1"/>
  <c r="F899" i="3" l="1"/>
  <c r="I899" i="3"/>
  <c r="J899" i="3"/>
  <c r="M899" i="3"/>
  <c r="N899" i="3" s="1"/>
  <c r="V899" i="3"/>
  <c r="A900" i="3"/>
  <c r="B900" i="3" s="1"/>
  <c r="W899" i="3" l="1"/>
  <c r="L899" i="3"/>
  <c r="P900" i="3"/>
  <c r="Q900" i="3" s="1"/>
  <c r="R900" i="3" s="1"/>
  <c r="S900" i="3" s="1"/>
  <c r="AC900" i="3"/>
  <c r="Z900" i="3"/>
  <c r="AD900" i="3"/>
  <c r="AA900" i="3"/>
  <c r="U899" i="3" l="1"/>
  <c r="Y898" i="3"/>
  <c r="T900" i="3"/>
  <c r="D900" i="3" l="1"/>
  <c r="G900" i="3" s="1"/>
  <c r="AH900" i="3"/>
  <c r="AG900" i="3"/>
  <c r="E900" i="3"/>
  <c r="H900" i="3" s="1"/>
  <c r="K900" i="3" s="1"/>
  <c r="AE900" i="3" s="1"/>
  <c r="F900" i="3" l="1"/>
  <c r="V900" i="3"/>
  <c r="A901" i="3"/>
  <c r="B901" i="3" s="1"/>
  <c r="I900" i="3"/>
  <c r="J900" i="3"/>
  <c r="M900" i="3"/>
  <c r="N900" i="3" s="1"/>
  <c r="L900" i="3" l="1"/>
  <c r="W900" i="3"/>
  <c r="AD901" i="3"/>
  <c r="P901" i="3"/>
  <c r="Q901" i="3" s="1"/>
  <c r="R901" i="3" s="1"/>
  <c r="S901" i="3" s="1"/>
  <c r="AA901" i="3"/>
  <c r="AC901" i="3"/>
  <c r="Z901" i="3"/>
  <c r="U900" i="3" l="1"/>
  <c r="Y899" i="3"/>
  <c r="T901" i="3"/>
  <c r="E901" i="3" l="1"/>
  <c r="H901" i="3" s="1"/>
  <c r="K901" i="3" s="1"/>
  <c r="AE901" i="3" s="1"/>
  <c r="AG901" i="3"/>
  <c r="D901" i="3"/>
  <c r="AH901" i="3"/>
  <c r="F901" i="3" l="1"/>
  <c r="G901" i="3"/>
  <c r="V901" i="3"/>
  <c r="A902" i="3"/>
  <c r="B902" i="3" s="1"/>
  <c r="AD902" i="3" l="1"/>
  <c r="AC902" i="3"/>
  <c r="P902" i="3"/>
  <c r="Q902" i="3" s="1"/>
  <c r="R902" i="3" s="1"/>
  <c r="S902" i="3" s="1"/>
  <c r="Z902" i="3"/>
  <c r="AA902" i="3"/>
  <c r="I901" i="3"/>
  <c r="W901" i="3" s="1"/>
  <c r="J901" i="3"/>
  <c r="M901" i="3"/>
  <c r="N901" i="3" s="1"/>
  <c r="T902" i="3" l="1"/>
  <c r="L901" i="3"/>
  <c r="U901" i="3" l="1"/>
  <c r="E902" i="3" s="1"/>
  <c r="H902" i="3" s="1"/>
  <c r="AH902" i="3"/>
  <c r="AG902" i="3"/>
  <c r="Y900" i="3"/>
  <c r="D902" i="3" l="1"/>
  <c r="F902" i="3" s="1"/>
  <c r="K902" i="3"/>
  <c r="AE902" i="3" s="1"/>
  <c r="G902" i="3" l="1"/>
  <c r="J902" i="3" s="1"/>
  <c r="V902" i="3"/>
  <c r="A903" i="3"/>
  <c r="B903" i="3" s="1"/>
  <c r="M902" i="3" l="1"/>
  <c r="N902" i="3" s="1"/>
  <c r="I902" i="3"/>
  <c r="W902" i="3" s="1"/>
  <c r="L902" i="3"/>
  <c r="Z903" i="3"/>
  <c r="AC903" i="3"/>
  <c r="P903" i="3"/>
  <c r="Q903" i="3" s="1"/>
  <c r="R903" i="3" s="1"/>
  <c r="S903" i="3" s="1"/>
  <c r="AD903" i="3"/>
  <c r="AA903" i="3"/>
  <c r="T903" i="3" l="1"/>
  <c r="AH903" i="3" s="1"/>
  <c r="U902" i="3"/>
  <c r="Y901" i="3"/>
  <c r="D903" i="3" l="1"/>
  <c r="E903" i="3"/>
  <c r="H903" i="3" s="1"/>
  <c r="AG903" i="3"/>
  <c r="K903" i="3" l="1"/>
  <c r="AE903" i="3" s="1"/>
  <c r="F903" i="3"/>
  <c r="G903" i="3"/>
  <c r="I903" i="3" l="1"/>
  <c r="J903" i="3"/>
  <c r="M903" i="3"/>
  <c r="N903" i="3" s="1"/>
  <c r="V903" i="3"/>
  <c r="A904" i="3"/>
  <c r="B904" i="3" s="1"/>
  <c r="W903" i="3" l="1"/>
  <c r="L903" i="3"/>
  <c r="AC904" i="3"/>
  <c r="Z904" i="3"/>
  <c r="P904" i="3"/>
  <c r="Q904" i="3" s="1"/>
  <c r="R904" i="3" s="1"/>
  <c r="S904" i="3" s="1"/>
  <c r="AA904" i="3"/>
  <c r="U903" i="3" l="1"/>
  <c r="Y902" i="3"/>
  <c r="T904" i="3"/>
  <c r="AH904" i="3" s="1"/>
  <c r="E904" i="3" l="1"/>
  <c r="H904" i="3" s="1"/>
  <c r="AG904" i="3"/>
  <c r="D904" i="3"/>
  <c r="K904" i="3" l="1"/>
  <c r="AE904" i="3" s="1"/>
  <c r="F904" i="3"/>
  <c r="G904" i="3"/>
  <c r="V904" i="3" l="1"/>
  <c r="A905" i="3"/>
  <c r="B905" i="3" s="1"/>
  <c r="I904" i="3"/>
  <c r="J904" i="3"/>
  <c r="AD904" i="3" s="1"/>
  <c r="M904" i="3"/>
  <c r="N904" i="3" s="1"/>
  <c r="L904" i="3" l="1"/>
  <c r="W904" i="3"/>
  <c r="AA905" i="3"/>
  <c r="Z905" i="3"/>
  <c r="AD905" i="3"/>
  <c r="AC905" i="3"/>
  <c r="P905" i="3"/>
  <c r="Q905" i="3" s="1"/>
  <c r="R905" i="3" s="1"/>
  <c r="S905" i="3" s="1"/>
  <c r="U904" i="3" l="1"/>
  <c r="Y903" i="3"/>
  <c r="T905" i="3"/>
  <c r="D905" i="3" l="1"/>
  <c r="G905" i="3" s="1"/>
  <c r="E905" i="3"/>
  <c r="H905" i="3" s="1"/>
  <c r="K905" i="3" s="1"/>
  <c r="AE905" i="3" s="1"/>
  <c r="AG905" i="3"/>
  <c r="AH905" i="3"/>
  <c r="F905" i="3" l="1"/>
  <c r="I905" i="3"/>
  <c r="J905" i="3"/>
  <c r="M905" i="3"/>
  <c r="N905" i="3" s="1"/>
  <c r="V905" i="3"/>
  <c r="A906" i="3"/>
  <c r="B906" i="3" s="1"/>
  <c r="L905" i="3" l="1"/>
  <c r="W905" i="3"/>
  <c r="AC906" i="3"/>
  <c r="P906" i="3"/>
  <c r="Q906" i="3" s="1"/>
  <c r="R906" i="3" s="1"/>
  <c r="S906" i="3" s="1"/>
  <c r="Z906" i="3"/>
  <c r="AD906" i="3"/>
  <c r="AA906" i="3"/>
  <c r="T906" i="3" l="1"/>
  <c r="U905" i="3"/>
  <c r="Y904" i="3"/>
  <c r="D906" i="3" l="1"/>
  <c r="G906" i="3" s="1"/>
  <c r="AG906" i="3"/>
  <c r="E906" i="3"/>
  <c r="H906" i="3" s="1"/>
  <c r="AH906" i="3"/>
  <c r="F906" i="3" l="1"/>
  <c r="I906" i="3"/>
  <c r="J906" i="3"/>
  <c r="M906" i="3"/>
  <c r="N906" i="3" s="1"/>
  <c r="K906" i="3"/>
  <c r="AE906" i="3" s="1"/>
  <c r="V906" i="3" l="1"/>
  <c r="W906" i="3" s="1"/>
  <c r="A907" i="3"/>
  <c r="B907" i="3" s="1"/>
  <c r="L906" i="3"/>
  <c r="U906" i="3" l="1"/>
  <c r="Y905" i="3"/>
  <c r="Z907" i="3"/>
  <c r="AC907" i="3"/>
  <c r="AA907" i="3"/>
  <c r="P907" i="3"/>
  <c r="Q907" i="3" s="1"/>
  <c r="R907" i="3" s="1"/>
  <c r="S907" i="3" s="1"/>
  <c r="AD907" i="3"/>
  <c r="T907" i="3" l="1"/>
  <c r="AG907" i="3" s="1"/>
  <c r="E907" i="3" l="1"/>
  <c r="H907" i="3" s="1"/>
  <c r="K907" i="3" s="1"/>
  <c r="AE907" i="3" s="1"/>
  <c r="D907" i="3"/>
  <c r="AH907" i="3"/>
  <c r="V907" i="3" l="1"/>
  <c r="A908" i="3"/>
  <c r="B908" i="3" s="1"/>
  <c r="F907" i="3"/>
  <c r="G907" i="3"/>
  <c r="I907" i="3" l="1"/>
  <c r="W907" i="3" s="1"/>
  <c r="J907" i="3"/>
  <c r="M907" i="3"/>
  <c r="N907" i="3" s="1"/>
  <c r="P908" i="3"/>
  <c r="Q908" i="3" s="1"/>
  <c r="R908" i="3" s="1"/>
  <c r="S908" i="3" s="1"/>
  <c r="AA908" i="3"/>
  <c r="Z908" i="3"/>
  <c r="AD908" i="3"/>
  <c r="AC908" i="3"/>
  <c r="T908" i="3" l="1"/>
  <c r="L907" i="3"/>
  <c r="AG908" i="3" l="1"/>
  <c r="AH908" i="3"/>
  <c r="U907" i="3"/>
  <c r="E908" i="3" s="1"/>
  <c r="H908" i="3" s="1"/>
  <c r="Y906" i="3"/>
  <c r="D908" i="3" l="1"/>
  <c r="G908" i="3" s="1"/>
  <c r="K908" i="3"/>
  <c r="AE908" i="3" s="1"/>
  <c r="F908" i="3" l="1"/>
  <c r="I908" i="3"/>
  <c r="J908" i="3"/>
  <c r="M908" i="3"/>
  <c r="N908" i="3" s="1"/>
  <c r="V908" i="3"/>
  <c r="A909" i="3"/>
  <c r="B909" i="3" s="1"/>
  <c r="W908" i="3" l="1"/>
  <c r="L908" i="3"/>
  <c r="AA909" i="3"/>
  <c r="Z909" i="3"/>
  <c r="P909" i="3"/>
  <c r="Q909" i="3" s="1"/>
  <c r="R909" i="3" s="1"/>
  <c r="S909" i="3" s="1"/>
  <c r="AD909" i="3"/>
  <c r="AC909" i="3"/>
  <c r="U908" i="3" l="1"/>
  <c r="Y907" i="3"/>
  <c r="T909" i="3"/>
  <c r="AH909" i="3" s="1"/>
  <c r="AG909" i="3" l="1"/>
  <c r="D909" i="3"/>
  <c r="G909" i="3" s="1"/>
  <c r="E909" i="3"/>
  <c r="H909" i="3" s="1"/>
  <c r="K909" i="3" s="1"/>
  <c r="AE909" i="3" s="1"/>
  <c r="F909" i="3" l="1"/>
  <c r="V909" i="3"/>
  <c r="A910" i="3"/>
  <c r="B910" i="3" s="1"/>
  <c r="I909" i="3"/>
  <c r="J909" i="3"/>
  <c r="M909" i="3"/>
  <c r="N909" i="3" s="1"/>
  <c r="W909" i="3" l="1"/>
  <c r="L909" i="3"/>
  <c r="AA910" i="3"/>
  <c r="AC910" i="3"/>
  <c r="P910" i="3"/>
  <c r="Q910" i="3" s="1"/>
  <c r="R910" i="3" s="1"/>
  <c r="S910" i="3" s="1"/>
  <c r="AD910" i="3"/>
  <c r="Z910" i="3"/>
  <c r="U909" i="3" l="1"/>
  <c r="Y908" i="3"/>
  <c r="T910" i="3"/>
  <c r="AH910" i="3" s="1"/>
  <c r="D910" i="3" l="1"/>
  <c r="G910" i="3" s="1"/>
  <c r="AG910" i="3"/>
  <c r="E910" i="3"/>
  <c r="H910" i="3" s="1"/>
  <c r="F910" i="3" l="1"/>
  <c r="I910" i="3"/>
  <c r="J910" i="3"/>
  <c r="M910" i="3"/>
  <c r="N910" i="3" s="1"/>
  <c r="K910" i="3"/>
  <c r="AE910" i="3" s="1"/>
  <c r="V910" i="3" l="1"/>
  <c r="W910" i="3" s="1"/>
  <c r="A911" i="3"/>
  <c r="B911" i="3" s="1"/>
  <c r="L910" i="3"/>
  <c r="U910" i="3" l="1"/>
  <c r="Y909" i="3"/>
  <c r="AD911" i="3"/>
  <c r="AA911" i="3"/>
  <c r="P911" i="3"/>
  <c r="Q911" i="3" s="1"/>
  <c r="R911" i="3" s="1"/>
  <c r="S911" i="3" s="1"/>
  <c r="Z911" i="3"/>
  <c r="AC911" i="3"/>
  <c r="T911" i="3" l="1"/>
  <c r="E911" i="3" s="1"/>
  <c r="H911" i="3" s="1"/>
  <c r="AH911" i="3" l="1"/>
  <c r="D911" i="3"/>
  <c r="G911" i="3" s="1"/>
  <c r="AG911" i="3"/>
  <c r="K911" i="3"/>
  <c r="AE911" i="3" s="1"/>
  <c r="F911" i="3" l="1"/>
  <c r="I911" i="3"/>
  <c r="J911" i="3"/>
  <c r="M911" i="3"/>
  <c r="N911" i="3" s="1"/>
  <c r="V911" i="3"/>
  <c r="A912" i="3"/>
  <c r="B912" i="3" s="1"/>
  <c r="W911" i="3" l="1"/>
  <c r="L911" i="3"/>
  <c r="AA912" i="3"/>
  <c r="AD912" i="3"/>
  <c r="AC912" i="3"/>
  <c r="P912" i="3"/>
  <c r="Q912" i="3" s="1"/>
  <c r="R912" i="3" s="1"/>
  <c r="S912" i="3" s="1"/>
  <c r="Z912" i="3"/>
  <c r="T912" i="3" l="1"/>
  <c r="U911" i="3"/>
  <c r="Y910" i="3"/>
  <c r="D912" i="3" l="1"/>
  <c r="G912" i="3" s="1"/>
  <c r="AG912" i="3"/>
  <c r="AH912" i="3"/>
  <c r="E912" i="3"/>
  <c r="H912" i="3" s="1"/>
  <c r="I912" i="3" l="1"/>
  <c r="J912" i="3"/>
  <c r="M912" i="3"/>
  <c r="N912" i="3" s="1"/>
  <c r="F912" i="3"/>
  <c r="K912" i="3"/>
  <c r="AE912" i="3" s="1"/>
  <c r="L912" i="3" l="1"/>
  <c r="V912" i="3"/>
  <c r="W912" i="3" s="1"/>
  <c r="A913" i="3"/>
  <c r="B913" i="3" s="1"/>
  <c r="U912" i="3" l="1"/>
  <c r="Y911" i="3"/>
  <c r="Z913" i="3"/>
  <c r="AD913" i="3"/>
  <c r="P913" i="3"/>
  <c r="Q913" i="3" s="1"/>
  <c r="R913" i="3" s="1"/>
  <c r="S913" i="3" s="1"/>
  <c r="AA913" i="3"/>
  <c r="AC913" i="3"/>
  <c r="T913" i="3" l="1"/>
  <c r="AH913" i="3" s="1"/>
  <c r="D913" i="3" l="1"/>
  <c r="G913" i="3" s="1"/>
  <c r="AG913" i="3"/>
  <c r="E913" i="3"/>
  <c r="H913" i="3" s="1"/>
  <c r="F913" i="3" l="1"/>
  <c r="I913" i="3"/>
  <c r="J913" i="3"/>
  <c r="M913" i="3"/>
  <c r="N913" i="3" s="1"/>
  <c r="K913" i="3"/>
  <c r="AE913" i="3" s="1"/>
  <c r="V913" i="3" l="1"/>
  <c r="W913" i="3" s="1"/>
  <c r="A914" i="3"/>
  <c r="B914" i="3" s="1"/>
  <c r="L913" i="3"/>
  <c r="U913" i="3" l="1"/>
  <c r="Y912" i="3"/>
  <c r="AA914" i="3"/>
  <c r="Z914" i="3"/>
  <c r="AC914" i="3"/>
  <c r="P914" i="3"/>
  <c r="Q914" i="3" s="1"/>
  <c r="R914" i="3" s="1"/>
  <c r="S914" i="3" s="1"/>
  <c r="T914" i="3" l="1"/>
  <c r="D914" i="3" s="1"/>
  <c r="E914" i="3" l="1"/>
  <c r="H914" i="3" s="1"/>
  <c r="K914" i="3" s="1"/>
  <c r="AE914" i="3" s="1"/>
  <c r="G914" i="3"/>
  <c r="AH914" i="3"/>
  <c r="AG914" i="3"/>
  <c r="F914" i="3" l="1"/>
  <c r="I914" i="3"/>
  <c r="J914" i="3"/>
  <c r="AD914" i="3" s="1"/>
  <c r="M914" i="3"/>
  <c r="N914" i="3" s="1"/>
  <c r="V914" i="3"/>
  <c r="A915" i="3"/>
  <c r="B915" i="3" s="1"/>
  <c r="W914" i="3" l="1"/>
  <c r="L914" i="3"/>
  <c r="P915" i="3"/>
  <c r="Q915" i="3" s="1"/>
  <c r="R915" i="3" s="1"/>
  <c r="S915" i="3" s="1"/>
  <c r="AA915" i="3"/>
  <c r="AC915" i="3"/>
  <c r="Z915" i="3"/>
  <c r="AD915" i="3"/>
  <c r="U914" i="3" l="1"/>
  <c r="Y913" i="3"/>
  <c r="T915" i="3"/>
  <c r="AH915" i="3" s="1"/>
  <c r="E915" i="3" l="1"/>
  <c r="H915" i="3" s="1"/>
  <c r="D915" i="3"/>
  <c r="AG915" i="3"/>
  <c r="K915" i="3" l="1"/>
  <c r="AE915" i="3" s="1"/>
  <c r="F915" i="3"/>
  <c r="G915" i="3"/>
  <c r="I915" i="3" l="1"/>
  <c r="J915" i="3"/>
  <c r="M915" i="3"/>
  <c r="N915" i="3" s="1"/>
  <c r="V915" i="3"/>
  <c r="A916" i="3"/>
  <c r="B916" i="3" s="1"/>
  <c r="W915" i="3" l="1"/>
  <c r="L915" i="3"/>
  <c r="AC916" i="3"/>
  <c r="AA916" i="3"/>
  <c r="Z916" i="3"/>
  <c r="P916" i="3"/>
  <c r="Q916" i="3" s="1"/>
  <c r="R916" i="3" s="1"/>
  <c r="S916" i="3" s="1"/>
  <c r="AD916" i="3"/>
  <c r="U915" i="3" l="1"/>
  <c r="Y914" i="3"/>
  <c r="T916" i="3"/>
  <c r="D916" i="3" l="1"/>
  <c r="G916" i="3" s="1"/>
  <c r="AG916" i="3"/>
  <c r="AH916" i="3"/>
  <c r="E916" i="3"/>
  <c r="H916" i="3" s="1"/>
  <c r="K916" i="3" l="1"/>
  <c r="AE916" i="3" s="1"/>
  <c r="I916" i="3"/>
  <c r="J916" i="3"/>
  <c r="M916" i="3"/>
  <c r="N916" i="3" s="1"/>
  <c r="F916" i="3"/>
  <c r="L916" i="3" l="1"/>
  <c r="V916" i="3"/>
  <c r="W916" i="3" s="1"/>
  <c r="A917" i="3"/>
  <c r="B917" i="3" s="1"/>
  <c r="U916" i="3" l="1"/>
  <c r="Y915" i="3"/>
  <c r="AD917" i="3"/>
  <c r="AC917" i="3"/>
  <c r="Z917" i="3"/>
  <c r="P917" i="3"/>
  <c r="Q917" i="3" s="1"/>
  <c r="R917" i="3" s="1"/>
  <c r="S917" i="3" s="1"/>
  <c r="AA917" i="3"/>
  <c r="T917" i="3" l="1"/>
  <c r="AG917" i="3" s="1"/>
  <c r="E917" i="3" l="1"/>
  <c r="H917" i="3" s="1"/>
  <c r="K917" i="3" s="1"/>
  <c r="AE917" i="3" s="1"/>
  <c r="AH917" i="3"/>
  <c r="D917" i="3"/>
  <c r="F917" i="3" l="1"/>
  <c r="G917" i="3"/>
  <c r="J917" i="3" s="1"/>
  <c r="V917" i="3"/>
  <c r="A918" i="3"/>
  <c r="B918" i="3" s="1"/>
  <c r="M917" i="3" l="1"/>
  <c r="N917" i="3" s="1"/>
  <c r="I917" i="3"/>
  <c r="W917" i="3" s="1"/>
  <c r="L917" i="3"/>
  <c r="AC918" i="3"/>
  <c r="AD918" i="3"/>
  <c r="AA918" i="3"/>
  <c r="Z918" i="3"/>
  <c r="P918" i="3"/>
  <c r="Q918" i="3" s="1"/>
  <c r="R918" i="3" s="1"/>
  <c r="S918" i="3" s="1"/>
  <c r="T918" i="3" l="1"/>
  <c r="U917" i="3"/>
  <c r="Y916" i="3"/>
  <c r="E918" i="3" l="1"/>
  <c r="H918" i="3" s="1"/>
  <c r="K918" i="3" s="1"/>
  <c r="AE918" i="3" s="1"/>
  <c r="AH918" i="3"/>
  <c r="D918" i="3"/>
  <c r="G918" i="3" s="1"/>
  <c r="AG918" i="3"/>
  <c r="F918" i="3" l="1"/>
  <c r="I918" i="3"/>
  <c r="J918" i="3"/>
  <c r="M918" i="3"/>
  <c r="N918" i="3" s="1"/>
  <c r="V918" i="3"/>
  <c r="A919" i="3"/>
  <c r="B919" i="3" s="1"/>
  <c r="L918" i="3" l="1"/>
  <c r="W918" i="3"/>
  <c r="P919" i="3"/>
  <c r="Q919" i="3" s="1"/>
  <c r="R919" i="3" s="1"/>
  <c r="S919" i="3" s="1"/>
  <c r="Z919" i="3"/>
  <c r="AC919" i="3"/>
  <c r="AD919" i="3"/>
  <c r="AA919" i="3"/>
  <c r="U918" i="3" l="1"/>
  <c r="Y917" i="3"/>
  <c r="T919" i="3"/>
  <c r="AG919" i="3" s="1"/>
  <c r="E919" i="3" l="1"/>
  <c r="H919" i="3" s="1"/>
  <c r="K919" i="3" s="1"/>
  <c r="AE919" i="3" s="1"/>
  <c r="AH919" i="3"/>
  <c r="D919" i="3"/>
  <c r="V919" i="3" l="1"/>
  <c r="A920" i="3"/>
  <c r="B920" i="3" s="1"/>
  <c r="F919" i="3"/>
  <c r="G919" i="3"/>
  <c r="I919" i="3" l="1"/>
  <c r="W919" i="3" s="1"/>
  <c r="J919" i="3"/>
  <c r="M919" i="3"/>
  <c r="N919" i="3" s="1"/>
  <c r="AD920" i="3"/>
  <c r="AC920" i="3"/>
  <c r="P920" i="3"/>
  <c r="Q920" i="3" s="1"/>
  <c r="R920" i="3" s="1"/>
  <c r="S920" i="3" s="1"/>
  <c r="AA920" i="3"/>
  <c r="Z920" i="3"/>
  <c r="T920" i="3" l="1"/>
  <c r="L919" i="3"/>
  <c r="AH920" i="3" l="1"/>
  <c r="U919" i="3"/>
  <c r="E920" i="3" s="1"/>
  <c r="H920" i="3" s="1"/>
  <c r="AG920" i="3"/>
  <c r="Y918" i="3"/>
  <c r="D920" i="3" l="1"/>
  <c r="G920" i="3" s="1"/>
  <c r="K920" i="3"/>
  <c r="AE920" i="3" s="1"/>
  <c r="F920" i="3" l="1"/>
  <c r="V920" i="3"/>
  <c r="A921" i="3"/>
  <c r="B921" i="3" s="1"/>
  <c r="I920" i="3"/>
  <c r="J920" i="3"/>
  <c r="M920" i="3"/>
  <c r="N920" i="3" s="1"/>
  <c r="W920" i="3" l="1"/>
  <c r="L920" i="3"/>
  <c r="AA921" i="3"/>
  <c r="Z921" i="3"/>
  <c r="P921" i="3"/>
  <c r="Q921" i="3" s="1"/>
  <c r="R921" i="3" s="1"/>
  <c r="S921" i="3" s="1"/>
  <c r="AD921" i="3"/>
  <c r="AC921" i="3"/>
  <c r="U920" i="3" l="1"/>
  <c r="Y919" i="3"/>
  <c r="T921" i="3"/>
  <c r="AG921" i="3" s="1"/>
  <c r="E921" i="3" l="1"/>
  <c r="H921" i="3" s="1"/>
  <c r="K921" i="3" s="1"/>
  <c r="AE921" i="3" s="1"/>
  <c r="AH921" i="3"/>
  <c r="D921" i="3"/>
  <c r="G921" i="3" s="1"/>
  <c r="F921" i="3" l="1"/>
  <c r="I921" i="3"/>
  <c r="J921" i="3"/>
  <c r="M921" i="3"/>
  <c r="N921" i="3" s="1"/>
  <c r="V921" i="3"/>
  <c r="A922" i="3"/>
  <c r="B922" i="3" s="1"/>
  <c r="W921" i="3" l="1"/>
  <c r="L921" i="3"/>
  <c r="AC922" i="3"/>
  <c r="AA922" i="3"/>
  <c r="Z922" i="3"/>
  <c r="P922" i="3"/>
  <c r="Q922" i="3" s="1"/>
  <c r="R922" i="3" s="1"/>
  <c r="S922" i="3" s="1"/>
  <c r="AD922" i="3"/>
  <c r="U921" i="3" l="1"/>
  <c r="Y920" i="3"/>
  <c r="T922" i="3"/>
  <c r="E922" i="3" l="1"/>
  <c r="H922" i="3" s="1"/>
  <c r="K922" i="3" s="1"/>
  <c r="AE922" i="3" s="1"/>
  <c r="AH922" i="3"/>
  <c r="D922" i="3"/>
  <c r="AG922" i="3"/>
  <c r="F922" i="3" l="1"/>
  <c r="G922" i="3"/>
  <c r="V922" i="3"/>
  <c r="A923" i="3"/>
  <c r="B923" i="3" s="1"/>
  <c r="AD923" i="3" l="1"/>
  <c r="AC923" i="3"/>
  <c r="Z923" i="3"/>
  <c r="AA923" i="3"/>
  <c r="P923" i="3"/>
  <c r="Q923" i="3" s="1"/>
  <c r="R923" i="3" s="1"/>
  <c r="S923" i="3" s="1"/>
  <c r="I922" i="3"/>
  <c r="W922" i="3" s="1"/>
  <c r="J922" i="3"/>
  <c r="M922" i="3"/>
  <c r="N922" i="3" s="1"/>
  <c r="L922" i="3" l="1"/>
  <c r="T923" i="3"/>
  <c r="AH923" i="3" l="1"/>
  <c r="AG923" i="3"/>
  <c r="U922" i="3"/>
  <c r="D923" i="3" s="1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M923" i="3"/>
  <c r="N923" i="3" s="1"/>
  <c r="W923" i="3" l="1"/>
  <c r="L923" i="3"/>
  <c r="Z924" i="3"/>
  <c r="AC924" i="3"/>
  <c r="P924" i="3"/>
  <c r="Q924" i="3" s="1"/>
  <c r="R924" i="3" s="1"/>
  <c r="S924" i="3" s="1"/>
  <c r="AA924" i="3"/>
  <c r="U923" i="3" l="1"/>
  <c r="Y922" i="3"/>
  <c r="T924" i="3"/>
  <c r="AH924" i="3" s="1"/>
  <c r="D924" i="3" l="1"/>
  <c r="G924" i="3" s="1"/>
  <c r="AG924" i="3"/>
  <c r="E924" i="3"/>
  <c r="H924" i="3" s="1"/>
  <c r="K924" i="3" s="1"/>
  <c r="AE924" i="3" s="1"/>
  <c r="F924" i="3" l="1"/>
  <c r="I924" i="3"/>
  <c r="J924" i="3"/>
  <c r="AD924" i="3" s="1"/>
  <c r="M924" i="3"/>
  <c r="N924" i="3" s="1"/>
  <c r="V924" i="3"/>
  <c r="A925" i="3"/>
  <c r="B925" i="3" s="1"/>
  <c r="W924" i="3" l="1"/>
  <c r="L924" i="3"/>
  <c r="Z925" i="3"/>
  <c r="AA925" i="3"/>
  <c r="AD925" i="3"/>
  <c r="AC925" i="3"/>
  <c r="P925" i="3"/>
  <c r="Q925" i="3" s="1"/>
  <c r="R925" i="3" s="1"/>
  <c r="S925" i="3" s="1"/>
  <c r="T925" i="3" l="1"/>
  <c r="AG925" i="3" s="1"/>
  <c r="U924" i="3"/>
  <c r="Y923" i="3"/>
  <c r="AH925" i="3" l="1"/>
  <c r="E925" i="3"/>
  <c r="H925" i="3" s="1"/>
  <c r="D925" i="3"/>
  <c r="K925" i="3" l="1"/>
  <c r="AE925" i="3" s="1"/>
  <c r="F925" i="3"/>
  <c r="G925" i="3"/>
  <c r="I925" i="3" l="1"/>
  <c r="J925" i="3"/>
  <c r="M925" i="3"/>
  <c r="N925" i="3" s="1"/>
  <c r="V925" i="3"/>
  <c r="A926" i="3"/>
  <c r="B926" i="3" s="1"/>
  <c r="W925" i="3" l="1"/>
  <c r="L925" i="3"/>
  <c r="AC926" i="3"/>
  <c r="AA926" i="3"/>
  <c r="AD926" i="3"/>
  <c r="P926" i="3"/>
  <c r="Q926" i="3" s="1"/>
  <c r="R926" i="3" s="1"/>
  <c r="S926" i="3" s="1"/>
  <c r="Z926" i="3"/>
  <c r="U925" i="3" l="1"/>
  <c r="Y924" i="3"/>
  <c r="T926" i="3"/>
  <c r="AG926" i="3" s="1"/>
  <c r="E926" i="3" l="1"/>
  <c r="H926" i="3" s="1"/>
  <c r="K926" i="3" s="1"/>
  <c r="AE926" i="3" s="1"/>
  <c r="AH926" i="3"/>
  <c r="D926" i="3"/>
  <c r="V926" i="3" l="1"/>
  <c r="A927" i="3"/>
  <c r="B927" i="3" s="1"/>
  <c r="F926" i="3"/>
  <c r="G926" i="3"/>
  <c r="I926" i="3" l="1"/>
  <c r="W926" i="3" s="1"/>
  <c r="J926" i="3"/>
  <c r="M926" i="3"/>
  <c r="N926" i="3" s="1"/>
  <c r="AD927" i="3"/>
  <c r="Z927" i="3"/>
  <c r="P927" i="3"/>
  <c r="Q927" i="3" s="1"/>
  <c r="R927" i="3" s="1"/>
  <c r="S927" i="3" s="1"/>
  <c r="AA927" i="3"/>
  <c r="AC927" i="3"/>
  <c r="T927" i="3" l="1"/>
  <c r="L926" i="3"/>
  <c r="U926" i="3" l="1"/>
  <c r="D927" i="3" s="1"/>
  <c r="AG927" i="3"/>
  <c r="AH927" i="3"/>
  <c r="Y925" i="3"/>
  <c r="G927" i="3" l="1"/>
  <c r="E927" i="3"/>
  <c r="H927" i="3" s="1"/>
  <c r="F927" i="3" l="1"/>
  <c r="K927" i="3"/>
  <c r="AE927" i="3" s="1"/>
  <c r="I927" i="3"/>
  <c r="J927" i="3"/>
  <c r="M927" i="3"/>
  <c r="N927" i="3" s="1"/>
  <c r="L927" i="3" l="1"/>
  <c r="V927" i="3"/>
  <c r="W927" i="3" s="1"/>
  <c r="A928" i="3"/>
  <c r="B928" i="3" s="1"/>
  <c r="U927" i="3" l="1"/>
  <c r="Y926" i="3"/>
  <c r="AC928" i="3"/>
  <c r="AD928" i="3"/>
  <c r="AA928" i="3"/>
  <c r="Z928" i="3"/>
  <c r="P928" i="3"/>
  <c r="Q928" i="3" s="1"/>
  <c r="R928" i="3" s="1"/>
  <c r="S928" i="3" s="1"/>
  <c r="T928" i="3" l="1"/>
  <c r="D928" i="3" s="1"/>
  <c r="AH928" i="3" l="1"/>
  <c r="E928" i="3"/>
  <c r="H928" i="3" s="1"/>
  <c r="K928" i="3" s="1"/>
  <c r="AE928" i="3" s="1"/>
  <c r="AG928" i="3"/>
  <c r="G928" i="3"/>
  <c r="F928" i="3" l="1"/>
  <c r="I928" i="3"/>
  <c r="J928" i="3"/>
  <c r="M928" i="3"/>
  <c r="N928" i="3" s="1"/>
  <c r="V928" i="3"/>
  <c r="A929" i="3"/>
  <c r="B929" i="3" s="1"/>
  <c r="L928" i="3" l="1"/>
  <c r="P929" i="3"/>
  <c r="Q929" i="3" s="1"/>
  <c r="R929" i="3" s="1"/>
  <c r="S929" i="3" s="1"/>
  <c r="AD929" i="3"/>
  <c r="AC929" i="3"/>
  <c r="Z929" i="3"/>
  <c r="AA929" i="3"/>
  <c r="W928" i="3"/>
  <c r="T929" i="3" l="1"/>
  <c r="AG929" i="3" s="1"/>
  <c r="U928" i="3"/>
  <c r="Y927" i="3"/>
  <c r="AH929" i="3" l="1"/>
  <c r="D929" i="3"/>
  <c r="E929" i="3"/>
  <c r="H929" i="3" s="1"/>
  <c r="F929" i="3" l="1"/>
  <c r="G929" i="3"/>
  <c r="K929" i="3"/>
  <c r="AE929" i="3" s="1"/>
  <c r="V929" i="3" l="1"/>
  <c r="A930" i="3"/>
  <c r="B930" i="3" s="1"/>
  <c r="I929" i="3"/>
  <c r="J929" i="3"/>
  <c r="M929" i="3"/>
  <c r="N929" i="3" s="1"/>
  <c r="L929" i="3" l="1"/>
  <c r="AD930" i="3"/>
  <c r="P930" i="3"/>
  <c r="Q930" i="3" s="1"/>
  <c r="R930" i="3" s="1"/>
  <c r="S930" i="3" s="1"/>
  <c r="AC930" i="3"/>
  <c r="Z930" i="3"/>
  <c r="AA930" i="3"/>
  <c r="W929" i="3"/>
  <c r="T930" i="3" l="1"/>
  <c r="U929" i="3"/>
  <c r="Y928" i="3"/>
  <c r="D930" i="3" l="1"/>
  <c r="G930" i="3" s="1"/>
  <c r="AH930" i="3"/>
  <c r="E930" i="3"/>
  <c r="H930" i="3" s="1"/>
  <c r="AG930" i="3"/>
  <c r="F930" i="3" l="1"/>
  <c r="I930" i="3"/>
  <c r="J930" i="3"/>
  <c r="M930" i="3"/>
  <c r="N930" i="3" s="1"/>
  <c r="K930" i="3"/>
  <c r="AE930" i="3" s="1"/>
  <c r="V930" i="3" l="1"/>
  <c r="W930" i="3" s="1"/>
  <c r="A931" i="3"/>
  <c r="B931" i="3" s="1"/>
  <c r="L930" i="3"/>
  <c r="U930" i="3" l="1"/>
  <c r="Y929" i="3"/>
  <c r="AC931" i="3"/>
  <c r="AA931" i="3"/>
  <c r="Z931" i="3"/>
  <c r="P931" i="3"/>
  <c r="Q931" i="3" s="1"/>
  <c r="R931" i="3" s="1"/>
  <c r="S931" i="3" s="1"/>
  <c r="AD931" i="3"/>
  <c r="T931" i="3" l="1"/>
  <c r="AH931" i="3" s="1"/>
  <c r="E931" i="3" l="1"/>
  <c r="H931" i="3" s="1"/>
  <c r="D931" i="3"/>
  <c r="AG931" i="3"/>
  <c r="K931" i="3" l="1"/>
  <c r="AE931" i="3" s="1"/>
  <c r="F931" i="3"/>
  <c r="G931" i="3"/>
  <c r="I931" i="3" l="1"/>
  <c r="J931" i="3"/>
  <c r="M931" i="3"/>
  <c r="N931" i="3" s="1"/>
  <c r="V931" i="3"/>
  <c r="A932" i="3"/>
  <c r="B932" i="3" s="1"/>
  <c r="W931" i="3" l="1"/>
  <c r="L931" i="3"/>
  <c r="AA932" i="3"/>
  <c r="AD932" i="3"/>
  <c r="Z932" i="3"/>
  <c r="AC932" i="3"/>
  <c r="P932" i="3"/>
  <c r="Q932" i="3" s="1"/>
  <c r="R932" i="3" s="1"/>
  <c r="S932" i="3" s="1"/>
  <c r="U931" i="3" l="1"/>
  <c r="Y930" i="3"/>
  <c r="T932" i="3"/>
  <c r="AH932" i="3" s="1"/>
  <c r="E932" i="3" l="1"/>
  <c r="H932" i="3" s="1"/>
  <c r="D932" i="3"/>
  <c r="AG932" i="3"/>
  <c r="K932" i="3" l="1"/>
  <c r="AE932" i="3" s="1"/>
  <c r="F932" i="3"/>
  <c r="G932" i="3"/>
  <c r="V932" i="3" l="1"/>
  <c r="A933" i="3"/>
  <c r="B933" i="3" s="1"/>
  <c r="I932" i="3"/>
  <c r="J932" i="3"/>
  <c r="M932" i="3"/>
  <c r="N932" i="3" s="1"/>
  <c r="L932" i="3" l="1"/>
  <c r="W932" i="3"/>
  <c r="AA933" i="3"/>
  <c r="P933" i="3"/>
  <c r="Q933" i="3" s="1"/>
  <c r="R933" i="3" s="1"/>
  <c r="S933" i="3" s="1"/>
  <c r="Z933" i="3"/>
  <c r="AD933" i="3"/>
  <c r="AC933" i="3"/>
  <c r="U932" i="3" l="1"/>
  <c r="Y931" i="3"/>
  <c r="T933" i="3"/>
  <c r="D933" i="3" l="1"/>
  <c r="G933" i="3" s="1"/>
  <c r="AH933" i="3"/>
  <c r="AG933" i="3"/>
  <c r="E933" i="3"/>
  <c r="H933" i="3" s="1"/>
  <c r="K933" i="3" l="1"/>
  <c r="AE933" i="3" s="1"/>
  <c r="I933" i="3"/>
  <c r="J933" i="3"/>
  <c r="M933" i="3"/>
  <c r="N933" i="3" s="1"/>
  <c r="F933" i="3"/>
  <c r="V933" i="3" l="1"/>
  <c r="W933" i="3" s="1"/>
  <c r="A934" i="3"/>
  <c r="B934" i="3" s="1"/>
  <c r="L933" i="3"/>
  <c r="U933" i="3" l="1"/>
  <c r="Y932" i="3"/>
  <c r="AC934" i="3"/>
  <c r="Z934" i="3"/>
  <c r="P934" i="3"/>
  <c r="Q934" i="3" s="1"/>
  <c r="R934" i="3" s="1"/>
  <c r="S934" i="3" s="1"/>
  <c r="AA934" i="3"/>
  <c r="T934" i="3" l="1"/>
  <c r="AH934" i="3" s="1"/>
  <c r="AG934" i="3" l="1"/>
  <c r="D934" i="3"/>
  <c r="E934" i="3"/>
  <c r="H934" i="3" s="1"/>
  <c r="K934" i="3" l="1"/>
  <c r="AE934" i="3" s="1"/>
  <c r="F934" i="3"/>
  <c r="G934" i="3"/>
  <c r="V934" i="3" l="1"/>
  <c r="A935" i="3"/>
  <c r="B935" i="3" s="1"/>
  <c r="I934" i="3"/>
  <c r="J934" i="3"/>
  <c r="AD934" i="3" s="1"/>
  <c r="M934" i="3"/>
  <c r="N934" i="3" s="1"/>
  <c r="W934" i="3" l="1"/>
  <c r="L934" i="3"/>
  <c r="AD935" i="3"/>
  <c r="P935" i="3"/>
  <c r="Q935" i="3" s="1"/>
  <c r="R935" i="3" s="1"/>
  <c r="S935" i="3" s="1"/>
  <c r="AA935" i="3"/>
  <c r="AC935" i="3"/>
  <c r="Z935" i="3"/>
  <c r="T935" i="3" l="1"/>
  <c r="U934" i="3"/>
  <c r="Y933" i="3"/>
  <c r="E935" i="3" l="1"/>
  <c r="H935" i="3" s="1"/>
  <c r="K935" i="3" s="1"/>
  <c r="AE935" i="3" s="1"/>
  <c r="AH935" i="3"/>
  <c r="AG935" i="3"/>
  <c r="D935" i="3"/>
  <c r="V935" i="3" l="1"/>
  <c r="A936" i="3"/>
  <c r="B936" i="3" s="1"/>
  <c r="F935" i="3"/>
  <c r="G935" i="3"/>
  <c r="I935" i="3" l="1"/>
  <c r="W935" i="3" s="1"/>
  <c r="J935" i="3"/>
  <c r="M935" i="3"/>
  <c r="N935" i="3" s="1"/>
  <c r="P936" i="3"/>
  <c r="Q936" i="3" s="1"/>
  <c r="R936" i="3" s="1"/>
  <c r="S936" i="3" s="1"/>
  <c r="AD936" i="3"/>
  <c r="AC936" i="3"/>
  <c r="Z936" i="3"/>
  <c r="AA936" i="3"/>
  <c r="T936" i="3" l="1"/>
  <c r="L935" i="3"/>
  <c r="AH936" i="3" l="1"/>
  <c r="U935" i="3"/>
  <c r="E936" i="3" s="1"/>
  <c r="H936" i="3" s="1"/>
  <c r="AG936" i="3"/>
  <c r="Y934" i="3"/>
  <c r="D936" i="3" l="1"/>
  <c r="F936" i="3" s="1"/>
  <c r="K936" i="3"/>
  <c r="AE936" i="3" s="1"/>
  <c r="G936" i="3" l="1"/>
  <c r="J936" i="3" s="1"/>
  <c r="V936" i="3"/>
  <c r="A937" i="3"/>
  <c r="B937" i="3" s="1"/>
  <c r="M936" i="3" l="1"/>
  <c r="N936" i="3" s="1"/>
  <c r="I936" i="3"/>
  <c r="W936" i="3" s="1"/>
  <c r="L936" i="3"/>
  <c r="AD937" i="3"/>
  <c r="P937" i="3"/>
  <c r="Q937" i="3" s="1"/>
  <c r="R937" i="3" s="1"/>
  <c r="S937" i="3" s="1"/>
  <c r="AA937" i="3"/>
  <c r="Z937" i="3"/>
  <c r="AC937" i="3"/>
  <c r="U936" i="3" l="1"/>
  <c r="Y935" i="3"/>
  <c r="T937" i="3"/>
  <c r="AG937" i="3" s="1"/>
  <c r="E937" i="3" l="1"/>
  <c r="H937" i="3" s="1"/>
  <c r="K937" i="3" s="1"/>
  <c r="AE937" i="3" s="1"/>
  <c r="D937" i="3"/>
  <c r="G937" i="3" s="1"/>
  <c r="AH937" i="3"/>
  <c r="F937" i="3" l="1"/>
  <c r="V937" i="3"/>
  <c r="A938" i="3"/>
  <c r="B938" i="3" s="1"/>
  <c r="I937" i="3"/>
  <c r="J937" i="3"/>
  <c r="M937" i="3"/>
  <c r="N937" i="3" s="1"/>
  <c r="W937" i="3" l="1"/>
  <c r="L937" i="3"/>
  <c r="Z938" i="3"/>
  <c r="P938" i="3"/>
  <c r="Q938" i="3" s="1"/>
  <c r="R938" i="3" s="1"/>
  <c r="S938" i="3" s="1"/>
  <c r="AA938" i="3"/>
  <c r="AC938" i="3"/>
  <c r="AD938" i="3"/>
  <c r="T938" i="3" l="1"/>
  <c r="AG938" i="3" s="1"/>
  <c r="U937" i="3"/>
  <c r="Y936" i="3"/>
  <c r="D938" i="3" l="1"/>
  <c r="AH938" i="3"/>
  <c r="E938" i="3"/>
  <c r="H938" i="3" s="1"/>
  <c r="F938" i="3" l="1"/>
  <c r="G938" i="3"/>
  <c r="J938" i="3" s="1"/>
  <c r="K938" i="3"/>
  <c r="AE938" i="3" s="1"/>
  <c r="I938" i="3" l="1"/>
  <c r="M938" i="3"/>
  <c r="N938" i="3" s="1"/>
  <c r="V938" i="3"/>
  <c r="A939" i="3"/>
  <c r="B939" i="3" s="1"/>
  <c r="L938" i="3"/>
  <c r="W938" i="3" l="1"/>
  <c r="U938" i="3"/>
  <c r="Y937" i="3"/>
  <c r="AA939" i="3"/>
  <c r="P939" i="3"/>
  <c r="Q939" i="3" s="1"/>
  <c r="R939" i="3" s="1"/>
  <c r="S939" i="3" s="1"/>
  <c r="Z939" i="3"/>
  <c r="AD939" i="3"/>
  <c r="AC939" i="3"/>
  <c r="T939" i="3" l="1"/>
  <c r="E939" i="3" s="1"/>
  <c r="H939" i="3" s="1"/>
  <c r="K939" i="3" l="1"/>
  <c r="AE939" i="3" s="1"/>
  <c r="AG939" i="3"/>
  <c r="D939" i="3"/>
  <c r="AH939" i="3"/>
  <c r="F939" i="3" l="1"/>
  <c r="G939" i="3"/>
  <c r="V939" i="3"/>
  <c r="A940" i="3"/>
  <c r="B940" i="3" s="1"/>
  <c r="AC940" i="3" l="1"/>
  <c r="Z940" i="3"/>
  <c r="P940" i="3"/>
  <c r="Q940" i="3" s="1"/>
  <c r="R940" i="3" s="1"/>
  <c r="S940" i="3" s="1"/>
  <c r="AA940" i="3"/>
  <c r="AD940" i="3"/>
  <c r="I939" i="3"/>
  <c r="W939" i="3" s="1"/>
  <c r="J939" i="3"/>
  <c r="M939" i="3"/>
  <c r="N939" i="3" s="1"/>
  <c r="T940" i="3" l="1"/>
  <c r="L939" i="3"/>
  <c r="AG940" i="3" l="1"/>
  <c r="AH940" i="3"/>
  <c r="U939" i="3"/>
  <c r="D940" i="3" s="1"/>
  <c r="Y938" i="3"/>
  <c r="E940" i="3" l="1"/>
  <c r="H940" i="3" s="1"/>
  <c r="K940" i="3" s="1"/>
  <c r="AE940" i="3" s="1"/>
  <c r="G940" i="3"/>
  <c r="F940" i="3" l="1"/>
  <c r="I940" i="3"/>
  <c r="J940" i="3"/>
  <c r="M940" i="3"/>
  <c r="N940" i="3" s="1"/>
  <c r="V940" i="3"/>
  <c r="A941" i="3"/>
  <c r="B941" i="3" s="1"/>
  <c r="W940" i="3" l="1"/>
  <c r="L940" i="3"/>
  <c r="AD941" i="3"/>
  <c r="P941" i="3"/>
  <c r="Q941" i="3" s="1"/>
  <c r="R941" i="3" s="1"/>
  <c r="S941" i="3" s="1"/>
  <c r="Z941" i="3"/>
  <c r="AC941" i="3"/>
  <c r="AA941" i="3"/>
  <c r="T941" i="3" l="1"/>
  <c r="U940" i="3"/>
  <c r="Y939" i="3"/>
  <c r="E941" i="3" l="1"/>
  <c r="H941" i="3" s="1"/>
  <c r="K941" i="3" s="1"/>
  <c r="AE941" i="3" s="1"/>
  <c r="AH941" i="3"/>
  <c r="AG941" i="3"/>
  <c r="D941" i="3"/>
  <c r="F941" i="3" l="1"/>
  <c r="G941" i="3"/>
  <c r="V941" i="3"/>
  <c r="A942" i="3"/>
  <c r="B942" i="3" s="1"/>
  <c r="Z942" i="3" l="1"/>
  <c r="AD942" i="3"/>
  <c r="AC942" i="3"/>
  <c r="AA942" i="3"/>
  <c r="P942" i="3"/>
  <c r="Q942" i="3" s="1"/>
  <c r="R942" i="3" s="1"/>
  <c r="S942" i="3" s="1"/>
  <c r="I941" i="3"/>
  <c r="W941" i="3" s="1"/>
  <c r="J941" i="3"/>
  <c r="M941" i="3"/>
  <c r="N941" i="3" s="1"/>
  <c r="T942" i="3" l="1"/>
  <c r="L941" i="3"/>
  <c r="U941" i="3" l="1"/>
  <c r="E942" i="3" s="1"/>
  <c r="H942" i="3" s="1"/>
  <c r="AG942" i="3"/>
  <c r="AH942" i="3"/>
  <c r="Y940" i="3"/>
  <c r="D942" i="3" l="1"/>
  <c r="G942" i="3" s="1"/>
  <c r="K942" i="3"/>
  <c r="AE942" i="3" s="1"/>
  <c r="F942" i="3" l="1"/>
  <c r="I942" i="3"/>
  <c r="J942" i="3"/>
  <c r="M942" i="3"/>
  <c r="N942" i="3" s="1"/>
  <c r="V942" i="3"/>
  <c r="A943" i="3"/>
  <c r="B943" i="3" s="1"/>
  <c r="W942" i="3" l="1"/>
  <c r="L942" i="3"/>
  <c r="AA943" i="3"/>
  <c r="AC943" i="3"/>
  <c r="P943" i="3"/>
  <c r="Q943" i="3" s="1"/>
  <c r="R943" i="3" s="1"/>
  <c r="S943" i="3" s="1"/>
  <c r="Z943" i="3"/>
  <c r="AD943" i="3"/>
  <c r="U942" i="3" l="1"/>
  <c r="Y941" i="3"/>
  <c r="T943" i="3"/>
  <c r="AG943" i="3" s="1"/>
  <c r="E943" i="3" l="1"/>
  <c r="H943" i="3" s="1"/>
  <c r="K943" i="3" s="1"/>
  <c r="AE943" i="3" s="1"/>
  <c r="D943" i="3"/>
  <c r="AH943" i="3"/>
  <c r="F943" i="3" l="1"/>
  <c r="G943" i="3"/>
  <c r="M943" i="3" s="1"/>
  <c r="N943" i="3" s="1"/>
  <c r="V943" i="3"/>
  <c r="A944" i="3"/>
  <c r="B944" i="3" s="1"/>
  <c r="I943" i="3" l="1"/>
  <c r="W943" i="3" s="1"/>
  <c r="J943" i="3"/>
  <c r="L943" i="3" s="1"/>
  <c r="P944" i="3"/>
  <c r="Q944" i="3" s="1"/>
  <c r="R944" i="3" s="1"/>
  <c r="S944" i="3" s="1"/>
  <c r="AC944" i="3"/>
  <c r="Z944" i="3"/>
  <c r="AA944" i="3"/>
  <c r="U943" i="3" l="1"/>
  <c r="Y942" i="3"/>
  <c r="T944" i="3"/>
  <c r="AH944" i="3" s="1"/>
  <c r="D944" i="3" l="1"/>
  <c r="E944" i="3"/>
  <c r="H944" i="3" s="1"/>
  <c r="AG944" i="3"/>
  <c r="F944" i="3" l="1"/>
  <c r="G944" i="3"/>
  <c r="K944" i="3"/>
  <c r="AE944" i="3" s="1"/>
  <c r="I944" i="3" l="1"/>
  <c r="J944" i="3"/>
  <c r="AD944" i="3" s="1"/>
  <c r="M944" i="3"/>
  <c r="N944" i="3" s="1"/>
  <c r="V944" i="3"/>
  <c r="A945" i="3"/>
  <c r="B945" i="3" s="1"/>
  <c r="W944" i="3" l="1"/>
  <c r="L944" i="3"/>
  <c r="P945" i="3"/>
  <c r="Q945" i="3" s="1"/>
  <c r="R945" i="3" s="1"/>
  <c r="S945" i="3" s="1"/>
  <c r="AC945" i="3"/>
  <c r="Z945" i="3"/>
  <c r="AD945" i="3"/>
  <c r="AA945" i="3"/>
  <c r="U944" i="3" l="1"/>
  <c r="Y943" i="3"/>
  <c r="T945" i="3"/>
  <c r="D945" i="3" l="1"/>
  <c r="G945" i="3" s="1"/>
  <c r="AH945" i="3"/>
  <c r="E945" i="3"/>
  <c r="H945" i="3" s="1"/>
  <c r="AG945" i="3"/>
  <c r="F945" i="3" l="1"/>
  <c r="I945" i="3"/>
  <c r="J945" i="3"/>
  <c r="M945" i="3"/>
  <c r="N945" i="3" s="1"/>
  <c r="K945" i="3"/>
  <c r="AE945" i="3" s="1"/>
  <c r="V945" i="3" l="1"/>
  <c r="W945" i="3" s="1"/>
  <c r="A946" i="3"/>
  <c r="B946" i="3" s="1"/>
  <c r="L945" i="3"/>
  <c r="U945" i="3" l="1"/>
  <c r="Y944" i="3"/>
  <c r="P946" i="3"/>
  <c r="Q946" i="3" s="1"/>
  <c r="R946" i="3" s="1"/>
  <c r="S946" i="3" s="1"/>
  <c r="AC946" i="3"/>
  <c r="AA946" i="3"/>
  <c r="AD946" i="3"/>
  <c r="Z946" i="3"/>
  <c r="T946" i="3" l="1"/>
  <c r="E946" i="3" s="1"/>
  <c r="H946" i="3" s="1"/>
  <c r="K946" i="3" l="1"/>
  <c r="AE946" i="3" s="1"/>
  <c r="AG946" i="3"/>
  <c r="D946" i="3"/>
  <c r="AH946" i="3"/>
  <c r="F946" i="3" l="1"/>
  <c r="G946" i="3"/>
  <c r="V946" i="3"/>
  <c r="A947" i="3"/>
  <c r="B947" i="3" s="1"/>
  <c r="Z947" i="3" l="1"/>
  <c r="AC947" i="3"/>
  <c r="P947" i="3"/>
  <c r="Q947" i="3" s="1"/>
  <c r="R947" i="3" s="1"/>
  <c r="S947" i="3" s="1"/>
  <c r="AA947" i="3"/>
  <c r="AD947" i="3"/>
  <c r="I946" i="3"/>
  <c r="W946" i="3" s="1"/>
  <c r="J946" i="3"/>
  <c r="M946" i="3"/>
  <c r="N946" i="3" s="1"/>
  <c r="L946" i="3" l="1"/>
  <c r="T947" i="3"/>
  <c r="AH947" i="3" l="1"/>
  <c r="AG947" i="3"/>
  <c r="U946" i="3"/>
  <c r="E947" i="3" s="1"/>
  <c r="H947" i="3" s="1"/>
  <c r="Y945" i="3"/>
  <c r="D947" i="3" l="1"/>
  <c r="G947" i="3" s="1"/>
  <c r="K947" i="3"/>
  <c r="AE947" i="3" s="1"/>
  <c r="F947" i="3" l="1"/>
  <c r="V947" i="3"/>
  <c r="A948" i="3"/>
  <c r="B948" i="3" s="1"/>
  <c r="I947" i="3"/>
  <c r="J947" i="3"/>
  <c r="M947" i="3"/>
  <c r="N947" i="3" s="1"/>
  <c r="W947" i="3" l="1"/>
  <c r="L947" i="3"/>
  <c r="P948" i="3"/>
  <c r="Q948" i="3" s="1"/>
  <c r="R948" i="3" s="1"/>
  <c r="S948" i="3" s="1"/>
  <c r="AA948" i="3"/>
  <c r="AD948" i="3"/>
  <c r="Z948" i="3"/>
  <c r="AC948" i="3"/>
  <c r="U947" i="3" l="1"/>
  <c r="Y946" i="3"/>
  <c r="T948" i="3"/>
  <c r="AH948" i="3" s="1"/>
  <c r="AG948" i="3" l="1"/>
  <c r="E948" i="3"/>
  <c r="H948" i="3" s="1"/>
  <c r="D948" i="3"/>
  <c r="K948" i="3" l="1"/>
  <c r="AE948" i="3" s="1"/>
  <c r="F948" i="3"/>
  <c r="G948" i="3"/>
  <c r="I948" i="3" l="1"/>
  <c r="J948" i="3"/>
  <c r="M948" i="3"/>
  <c r="N948" i="3" s="1"/>
  <c r="V948" i="3"/>
  <c r="A949" i="3"/>
  <c r="B949" i="3" s="1"/>
  <c r="W948" i="3" l="1"/>
  <c r="L948" i="3"/>
  <c r="AD949" i="3"/>
  <c r="AA949" i="3"/>
  <c r="AC949" i="3"/>
  <c r="Z949" i="3"/>
  <c r="P949" i="3"/>
  <c r="Q949" i="3" s="1"/>
  <c r="R949" i="3" s="1"/>
  <c r="S949" i="3" s="1"/>
  <c r="U948" i="3" l="1"/>
  <c r="Y947" i="3"/>
  <c r="T949" i="3"/>
  <c r="AH949" i="3" s="1"/>
  <c r="AG949" i="3" l="1"/>
  <c r="D949" i="3"/>
  <c r="G949" i="3" s="1"/>
  <c r="E949" i="3"/>
  <c r="H949" i="3" s="1"/>
  <c r="K949" i="3" s="1"/>
  <c r="AE949" i="3" s="1"/>
  <c r="F949" i="3" l="1"/>
  <c r="I949" i="3"/>
  <c r="J949" i="3"/>
  <c r="M949" i="3"/>
  <c r="N949" i="3" s="1"/>
  <c r="V949" i="3"/>
  <c r="A950" i="3"/>
  <c r="B950" i="3" s="1"/>
  <c r="W949" i="3" l="1"/>
  <c r="L949" i="3"/>
  <c r="Z950" i="3"/>
  <c r="AC950" i="3"/>
  <c r="P950" i="3"/>
  <c r="Q950" i="3" s="1"/>
  <c r="R950" i="3" s="1"/>
  <c r="S950" i="3" s="1"/>
  <c r="AD950" i="3"/>
  <c r="AA950" i="3"/>
  <c r="T950" i="3" l="1"/>
  <c r="U949" i="3"/>
  <c r="Y948" i="3"/>
  <c r="D950" i="3" l="1"/>
  <c r="G950" i="3" s="1"/>
  <c r="AG950" i="3"/>
  <c r="E950" i="3"/>
  <c r="H950" i="3" s="1"/>
  <c r="K950" i="3" s="1"/>
  <c r="AE950" i="3" s="1"/>
  <c r="AH950" i="3"/>
  <c r="F950" i="3" l="1"/>
  <c r="I950" i="3"/>
  <c r="J950" i="3"/>
  <c r="M950" i="3"/>
  <c r="N950" i="3" s="1"/>
  <c r="V950" i="3"/>
  <c r="A951" i="3"/>
  <c r="B951" i="3" s="1"/>
  <c r="W950" i="3" l="1"/>
  <c r="P951" i="3"/>
  <c r="Q951" i="3" s="1"/>
  <c r="R951" i="3" s="1"/>
  <c r="S951" i="3" s="1"/>
  <c r="AA951" i="3"/>
  <c r="AC951" i="3"/>
  <c r="AD951" i="3"/>
  <c r="Z951" i="3"/>
  <c r="L950" i="3"/>
  <c r="T951" i="3" l="1"/>
  <c r="U950" i="3"/>
  <c r="Y949" i="3"/>
  <c r="D951" i="3" l="1"/>
  <c r="G951" i="3" s="1"/>
  <c r="AH951" i="3"/>
  <c r="AG951" i="3"/>
  <c r="E951" i="3"/>
  <c r="H951" i="3" s="1"/>
  <c r="K951" i="3" s="1"/>
  <c r="AE951" i="3" s="1"/>
  <c r="F951" i="3" l="1"/>
  <c r="I951" i="3"/>
  <c r="J951" i="3"/>
  <c r="M951" i="3"/>
  <c r="N951" i="3" s="1"/>
  <c r="V951" i="3"/>
  <c r="A952" i="3"/>
  <c r="B952" i="3" s="1"/>
  <c r="AC952" i="3" l="1"/>
  <c r="Z952" i="3"/>
  <c r="AD952" i="3"/>
  <c r="P952" i="3"/>
  <c r="Q952" i="3" s="1"/>
  <c r="R952" i="3" s="1"/>
  <c r="S952" i="3" s="1"/>
  <c r="AA952" i="3"/>
  <c r="W951" i="3"/>
  <c r="L951" i="3"/>
  <c r="U951" i="3" l="1"/>
  <c r="Y950" i="3"/>
  <c r="T952" i="3"/>
  <c r="D952" i="3" l="1"/>
  <c r="G952" i="3" s="1"/>
  <c r="E952" i="3"/>
  <c r="H952" i="3" s="1"/>
  <c r="AH952" i="3"/>
  <c r="AG952" i="3"/>
  <c r="F952" i="3" l="1"/>
  <c r="I952" i="3"/>
  <c r="J952" i="3"/>
  <c r="M952" i="3"/>
  <c r="N952" i="3" s="1"/>
  <c r="K952" i="3"/>
  <c r="AE952" i="3" s="1"/>
  <c r="V952" i="3" l="1"/>
  <c r="W952" i="3" s="1"/>
  <c r="A953" i="3"/>
  <c r="B953" i="3" s="1"/>
  <c r="L952" i="3"/>
  <c r="U952" i="3" l="1"/>
  <c r="Y951" i="3"/>
  <c r="Z953" i="3"/>
  <c r="AA953" i="3"/>
  <c r="AD953" i="3"/>
  <c r="P953" i="3"/>
  <c r="Q953" i="3" s="1"/>
  <c r="R953" i="3" s="1"/>
  <c r="S953" i="3" s="1"/>
  <c r="AC953" i="3"/>
  <c r="T953" i="3" l="1"/>
  <c r="AG953" i="3" s="1"/>
  <c r="E953" i="3" l="1"/>
  <c r="H953" i="3" s="1"/>
  <c r="K953" i="3" s="1"/>
  <c r="AE953" i="3" s="1"/>
  <c r="AH953" i="3"/>
  <c r="D953" i="3"/>
  <c r="G953" i="3" s="1"/>
  <c r="F953" i="3" l="1"/>
  <c r="I953" i="3"/>
  <c r="J953" i="3"/>
  <c r="M953" i="3"/>
  <c r="N953" i="3" s="1"/>
  <c r="V953" i="3"/>
  <c r="A954" i="3"/>
  <c r="B954" i="3" s="1"/>
  <c r="W953" i="3" l="1"/>
  <c r="L953" i="3"/>
  <c r="AA954" i="3"/>
  <c r="P954" i="3"/>
  <c r="Q954" i="3" s="1"/>
  <c r="R954" i="3" s="1"/>
  <c r="S954" i="3" s="1"/>
  <c r="AC954" i="3"/>
  <c r="Z954" i="3"/>
  <c r="T954" i="3" l="1"/>
  <c r="U953" i="3"/>
  <c r="Y952" i="3"/>
  <c r="E954" i="3" l="1"/>
  <c r="H954" i="3" s="1"/>
  <c r="K954" i="3" s="1"/>
  <c r="AE954" i="3" s="1"/>
  <c r="AG954" i="3"/>
  <c r="AH954" i="3"/>
  <c r="D954" i="3"/>
  <c r="G954" i="3" s="1"/>
  <c r="F954" i="3" l="1"/>
  <c r="V954" i="3"/>
  <c r="A955" i="3"/>
  <c r="B955" i="3" s="1"/>
  <c r="I954" i="3"/>
  <c r="J954" i="3"/>
  <c r="AD954" i="3" s="1"/>
  <c r="M954" i="3"/>
  <c r="N954" i="3" s="1"/>
  <c r="W954" i="3" l="1"/>
  <c r="L954" i="3"/>
  <c r="P955" i="3"/>
  <c r="Q955" i="3" s="1"/>
  <c r="R955" i="3" s="1"/>
  <c r="S955" i="3" s="1"/>
  <c r="AA955" i="3"/>
  <c r="AD955" i="3"/>
  <c r="AC955" i="3"/>
  <c r="Z955" i="3"/>
  <c r="U954" i="3" l="1"/>
  <c r="Y953" i="3"/>
  <c r="T955" i="3"/>
  <c r="AG955" i="3" s="1"/>
  <c r="AH955" i="3" l="1"/>
  <c r="D955" i="3"/>
  <c r="E955" i="3"/>
  <c r="H955" i="3" s="1"/>
  <c r="F955" i="3" l="1"/>
  <c r="G955" i="3"/>
  <c r="K955" i="3"/>
  <c r="AE955" i="3" s="1"/>
  <c r="I955" i="3" l="1"/>
  <c r="J955" i="3"/>
  <c r="M955" i="3"/>
  <c r="N955" i="3" s="1"/>
  <c r="V955" i="3"/>
  <c r="A956" i="3"/>
  <c r="B956" i="3" s="1"/>
  <c r="W955" i="3" l="1"/>
  <c r="L955" i="3"/>
  <c r="AA956" i="3"/>
  <c r="P956" i="3"/>
  <c r="Q956" i="3" s="1"/>
  <c r="R956" i="3" s="1"/>
  <c r="S956" i="3" s="1"/>
  <c r="Z956" i="3"/>
  <c r="AD956" i="3"/>
  <c r="AC956" i="3"/>
  <c r="U955" i="3" l="1"/>
  <c r="Y954" i="3"/>
  <c r="T956" i="3"/>
  <c r="AH956" i="3" s="1"/>
  <c r="AG956" i="3" l="1"/>
  <c r="E956" i="3"/>
  <c r="H956" i="3" s="1"/>
  <c r="K956" i="3" s="1"/>
  <c r="AE956" i="3" s="1"/>
  <c r="D956" i="3"/>
  <c r="V956" i="3" l="1"/>
  <c r="A957" i="3"/>
  <c r="B957" i="3" s="1"/>
  <c r="F956" i="3"/>
  <c r="G956" i="3"/>
  <c r="I956" i="3" l="1"/>
  <c r="W956" i="3" s="1"/>
  <c r="J956" i="3"/>
  <c r="M956" i="3"/>
  <c r="N956" i="3" s="1"/>
  <c r="AA957" i="3"/>
  <c r="AD957" i="3"/>
  <c r="Z957" i="3"/>
  <c r="P957" i="3"/>
  <c r="Q957" i="3" s="1"/>
  <c r="R957" i="3" s="1"/>
  <c r="S957" i="3" s="1"/>
  <c r="AC957" i="3"/>
  <c r="T957" i="3" l="1"/>
  <c r="L956" i="3"/>
  <c r="AG957" i="3" l="1"/>
  <c r="U956" i="3"/>
  <c r="E957" i="3" s="1"/>
  <c r="H957" i="3" s="1"/>
  <c r="AH957" i="3"/>
  <c r="Y955" i="3"/>
  <c r="D957" i="3" l="1"/>
  <c r="G957" i="3" s="1"/>
  <c r="K957" i="3"/>
  <c r="AE957" i="3" s="1"/>
  <c r="F957" i="3" l="1"/>
  <c r="I957" i="3"/>
  <c r="J957" i="3"/>
  <c r="M957" i="3"/>
  <c r="N957" i="3" s="1"/>
  <c r="V957" i="3"/>
  <c r="A958" i="3"/>
  <c r="B958" i="3" s="1"/>
  <c r="W957" i="3" l="1"/>
  <c r="L957" i="3"/>
  <c r="AC958" i="3"/>
  <c r="AA958" i="3"/>
  <c r="P958" i="3"/>
  <c r="Q958" i="3" s="1"/>
  <c r="R958" i="3" s="1"/>
  <c r="S958" i="3" s="1"/>
  <c r="Z958" i="3"/>
  <c r="AD958" i="3"/>
  <c r="T958" i="3" l="1"/>
  <c r="AH958" i="3" s="1"/>
  <c r="U957" i="3"/>
  <c r="Y956" i="3"/>
  <c r="AG958" i="3" l="1"/>
  <c r="D958" i="3"/>
  <c r="E958" i="3"/>
  <c r="H958" i="3" s="1"/>
  <c r="K958" i="3" l="1"/>
  <c r="AE958" i="3" s="1"/>
  <c r="F958" i="3"/>
  <c r="G958" i="3"/>
  <c r="V958" i="3" l="1"/>
  <c r="A959" i="3"/>
  <c r="B959" i="3" s="1"/>
  <c r="I958" i="3"/>
  <c r="J958" i="3"/>
  <c r="M958" i="3"/>
  <c r="N958" i="3" s="1"/>
  <c r="W958" i="3" l="1"/>
  <c r="L958" i="3"/>
  <c r="Z959" i="3"/>
  <c r="AC959" i="3"/>
  <c r="P959" i="3"/>
  <c r="Q959" i="3" s="1"/>
  <c r="R959" i="3" s="1"/>
  <c r="S959" i="3" s="1"/>
  <c r="AA959" i="3"/>
  <c r="AD959" i="3"/>
  <c r="T959" i="3" l="1"/>
  <c r="AH959" i="3" s="1"/>
  <c r="U958" i="3"/>
  <c r="Y957" i="3"/>
  <c r="AG959" i="3" l="1"/>
  <c r="E959" i="3"/>
  <c r="H959" i="3" s="1"/>
  <c r="K959" i="3" s="1"/>
  <c r="AE959" i="3" s="1"/>
  <c r="D959" i="3"/>
  <c r="F959" i="3" l="1"/>
  <c r="G959" i="3"/>
  <c r="V959" i="3"/>
  <c r="A960" i="3"/>
  <c r="B960" i="3" s="1"/>
  <c r="AD960" i="3" l="1"/>
  <c r="Z960" i="3"/>
  <c r="AA960" i="3"/>
  <c r="P960" i="3"/>
  <c r="Q960" i="3" s="1"/>
  <c r="R960" i="3" s="1"/>
  <c r="S960" i="3" s="1"/>
  <c r="AC960" i="3"/>
  <c r="I959" i="3"/>
  <c r="W959" i="3" s="1"/>
  <c r="J959" i="3"/>
  <c r="M959" i="3"/>
  <c r="N959" i="3" s="1"/>
  <c r="T960" i="3" l="1"/>
  <c r="L959" i="3"/>
  <c r="U959" i="3" l="1"/>
  <c r="E960" i="3" s="1"/>
  <c r="H960" i="3" s="1"/>
  <c r="AG960" i="3"/>
  <c r="AH960" i="3"/>
  <c r="Y958" i="3"/>
  <c r="D960" i="3" l="1"/>
  <c r="G960" i="3" s="1"/>
  <c r="K960" i="3"/>
  <c r="AE960" i="3" s="1"/>
  <c r="F960" i="3" l="1"/>
  <c r="I960" i="3"/>
  <c r="J960" i="3"/>
  <c r="M960" i="3"/>
  <c r="N960" i="3" s="1"/>
  <c r="V960" i="3"/>
  <c r="A961" i="3"/>
  <c r="B961" i="3" s="1"/>
  <c r="W960" i="3" l="1"/>
  <c r="P961" i="3"/>
  <c r="Q961" i="3" s="1"/>
  <c r="R961" i="3" s="1"/>
  <c r="S961" i="3" s="1"/>
  <c r="AD961" i="3"/>
  <c r="AC961" i="3"/>
  <c r="Z961" i="3"/>
  <c r="AA961" i="3"/>
  <c r="L960" i="3"/>
  <c r="U960" i="3" l="1"/>
  <c r="Y959" i="3"/>
  <c r="T961" i="3"/>
  <c r="D961" i="3" l="1"/>
  <c r="G961" i="3" s="1"/>
  <c r="AH961" i="3"/>
  <c r="AG961" i="3"/>
  <c r="E961" i="3"/>
  <c r="H961" i="3" s="1"/>
  <c r="K961" i="3" l="1"/>
  <c r="AE961" i="3" s="1"/>
  <c r="I961" i="3"/>
  <c r="J961" i="3"/>
  <c r="M961" i="3"/>
  <c r="N961" i="3" s="1"/>
  <c r="F961" i="3"/>
  <c r="L961" i="3" l="1"/>
  <c r="V961" i="3"/>
  <c r="W961" i="3" s="1"/>
  <c r="A962" i="3"/>
  <c r="B962" i="3" s="1"/>
  <c r="Z962" i="3" l="1"/>
  <c r="AA962" i="3"/>
  <c r="P962" i="3"/>
  <c r="Q962" i="3" s="1"/>
  <c r="R962" i="3" s="1"/>
  <c r="S962" i="3" s="1"/>
  <c r="AC962" i="3"/>
  <c r="AD962" i="3"/>
  <c r="U961" i="3"/>
  <c r="Y960" i="3"/>
  <c r="T962" i="3" l="1"/>
  <c r="E962" i="3" s="1"/>
  <c r="H962" i="3" s="1"/>
  <c r="AH962" i="3" l="1"/>
  <c r="K962" i="3"/>
  <c r="AE962" i="3" s="1"/>
  <c r="D962" i="3"/>
  <c r="AG962" i="3"/>
  <c r="V962" i="3" l="1"/>
  <c r="A963" i="3"/>
  <c r="B963" i="3" s="1"/>
  <c r="F962" i="3"/>
  <c r="G962" i="3"/>
  <c r="P963" i="3" l="1"/>
  <c r="Q963" i="3" s="1"/>
  <c r="R963" i="3" s="1"/>
  <c r="S963" i="3" s="1"/>
  <c r="AC963" i="3"/>
  <c r="Z963" i="3"/>
  <c r="AA963" i="3"/>
  <c r="AD963" i="3"/>
  <c r="I962" i="3"/>
  <c r="W962" i="3" s="1"/>
  <c r="J962" i="3"/>
  <c r="M962" i="3"/>
  <c r="N962" i="3" s="1"/>
  <c r="T963" i="3" l="1"/>
  <c r="L962" i="3"/>
  <c r="U962" i="3" l="1"/>
  <c r="E963" i="3" s="1"/>
  <c r="H963" i="3" s="1"/>
  <c r="AG963" i="3"/>
  <c r="AH963" i="3"/>
  <c r="Y961" i="3"/>
  <c r="D963" i="3" l="1"/>
  <c r="G963" i="3" s="1"/>
  <c r="K963" i="3"/>
  <c r="AE963" i="3" s="1"/>
  <c r="F963" i="3" l="1"/>
  <c r="I963" i="3"/>
  <c r="J963" i="3"/>
  <c r="M963" i="3"/>
  <c r="N963" i="3" s="1"/>
  <c r="V963" i="3"/>
  <c r="A964" i="3"/>
  <c r="B964" i="3" s="1"/>
  <c r="W963" i="3" l="1"/>
  <c r="L963" i="3"/>
  <c r="Z964" i="3"/>
  <c r="P964" i="3"/>
  <c r="Q964" i="3" s="1"/>
  <c r="R964" i="3" s="1"/>
  <c r="S964" i="3" s="1"/>
  <c r="AA964" i="3"/>
  <c r="AC964" i="3"/>
  <c r="U963" i="3" l="1"/>
  <c r="Y962" i="3"/>
  <c r="T964" i="3"/>
  <c r="D964" i="3" l="1"/>
  <c r="G964" i="3" s="1"/>
  <c r="E964" i="3"/>
  <c r="H964" i="3" s="1"/>
  <c r="K964" i="3" s="1"/>
  <c r="AE964" i="3" s="1"/>
  <c r="AH964" i="3"/>
  <c r="AG964" i="3"/>
  <c r="F964" i="3" l="1"/>
  <c r="I964" i="3"/>
  <c r="J964" i="3"/>
  <c r="AD964" i="3" s="1"/>
  <c r="M964" i="3"/>
  <c r="N964" i="3" s="1"/>
  <c r="V964" i="3"/>
  <c r="A965" i="3"/>
  <c r="B965" i="3" s="1"/>
  <c r="W964" i="3" l="1"/>
  <c r="L964" i="3"/>
  <c r="AC965" i="3"/>
  <c r="P965" i="3"/>
  <c r="Q965" i="3" s="1"/>
  <c r="R965" i="3" s="1"/>
  <c r="S965" i="3" s="1"/>
  <c r="AA965" i="3"/>
  <c r="Z965" i="3"/>
  <c r="U964" i="3" l="1"/>
  <c r="Y963" i="3"/>
  <c r="T965" i="3"/>
  <c r="AH965" i="3" s="1"/>
  <c r="AG965" i="3" l="1"/>
  <c r="E965" i="3"/>
  <c r="H965" i="3" s="1"/>
  <c r="D965" i="3"/>
  <c r="F965" i="3" l="1"/>
  <c r="G965" i="3"/>
  <c r="K965" i="3"/>
  <c r="AE965" i="3" s="1"/>
  <c r="V965" i="3" l="1"/>
  <c r="A966" i="3"/>
  <c r="B966" i="3" s="1"/>
  <c r="I965" i="3"/>
  <c r="J965" i="3"/>
  <c r="AD965" i="3" s="1"/>
  <c r="M965" i="3"/>
  <c r="N965" i="3" s="1"/>
  <c r="L965" i="3" l="1"/>
  <c r="P966" i="3"/>
  <c r="Q966" i="3" s="1"/>
  <c r="R966" i="3" s="1"/>
  <c r="S966" i="3" s="1"/>
  <c r="AA966" i="3"/>
  <c r="Z966" i="3"/>
  <c r="AC966" i="3"/>
  <c r="W965" i="3"/>
  <c r="T966" i="3" l="1"/>
  <c r="AG966" i="3" s="1"/>
  <c r="U965" i="3"/>
  <c r="Y964" i="3"/>
  <c r="E966" i="3" l="1"/>
  <c r="H966" i="3" s="1"/>
  <c r="D966" i="3"/>
  <c r="AH966" i="3"/>
  <c r="K966" i="3" l="1"/>
  <c r="AE966" i="3" s="1"/>
  <c r="F966" i="3"/>
  <c r="G966" i="3"/>
  <c r="I966" i="3" l="1"/>
  <c r="J966" i="3"/>
  <c r="AD966" i="3" s="1"/>
  <c r="M966" i="3"/>
  <c r="N966" i="3" s="1"/>
  <c r="V966" i="3"/>
  <c r="A967" i="3"/>
  <c r="B967" i="3" s="1"/>
  <c r="W966" i="3" l="1"/>
  <c r="L966" i="3"/>
  <c r="AA967" i="3"/>
  <c r="P967" i="3"/>
  <c r="Q967" i="3" s="1"/>
  <c r="R967" i="3" s="1"/>
  <c r="S967" i="3" s="1"/>
  <c r="AC967" i="3"/>
  <c r="Z967" i="3"/>
  <c r="U966" i="3" l="1"/>
  <c r="Y965" i="3"/>
  <c r="T967" i="3"/>
  <c r="E967" i="3" l="1"/>
  <c r="H967" i="3" s="1"/>
  <c r="K967" i="3" s="1"/>
  <c r="AE967" i="3" s="1"/>
  <c r="AH967" i="3"/>
  <c r="AG967" i="3"/>
  <c r="D967" i="3"/>
  <c r="V967" i="3" l="1"/>
  <c r="A968" i="3"/>
  <c r="B968" i="3" s="1"/>
  <c r="F967" i="3"/>
  <c r="G967" i="3"/>
  <c r="I967" i="3" l="1"/>
  <c r="W967" i="3" s="1"/>
  <c r="J967" i="3"/>
  <c r="AD967" i="3" s="1"/>
  <c r="M967" i="3"/>
  <c r="N967" i="3" s="1"/>
  <c r="Z968" i="3"/>
  <c r="AA968" i="3"/>
  <c r="P968" i="3"/>
  <c r="Q968" i="3" s="1"/>
  <c r="R968" i="3" s="1"/>
  <c r="S968" i="3" s="1"/>
  <c r="AC968" i="3"/>
  <c r="L967" i="3" l="1"/>
  <c r="T968" i="3"/>
  <c r="AH968" i="3" l="1"/>
  <c r="AG968" i="3"/>
  <c r="U967" i="3"/>
  <c r="E968" i="3" s="1"/>
  <c r="H968" i="3" s="1"/>
  <c r="Y966" i="3"/>
  <c r="K968" i="3" l="1"/>
  <c r="AE968" i="3" s="1"/>
  <c r="D968" i="3"/>
  <c r="V968" i="3" l="1"/>
  <c r="A969" i="3"/>
  <c r="B969" i="3" s="1"/>
  <c r="F968" i="3"/>
  <c r="G968" i="3"/>
  <c r="I968" i="3" l="1"/>
  <c r="W968" i="3" s="1"/>
  <c r="J968" i="3"/>
  <c r="AD968" i="3" s="1"/>
  <c r="M968" i="3"/>
  <c r="N968" i="3" s="1"/>
  <c r="AA969" i="3"/>
  <c r="Z969" i="3"/>
  <c r="P969" i="3"/>
  <c r="Q969" i="3" s="1"/>
  <c r="R969" i="3" s="1"/>
  <c r="S969" i="3" s="1"/>
  <c r="AC969" i="3"/>
  <c r="T969" i="3" l="1"/>
  <c r="L968" i="3"/>
  <c r="AH969" i="3" l="1"/>
  <c r="U968" i="3"/>
  <c r="D969" i="3" s="1"/>
  <c r="AG969" i="3"/>
  <c r="Y967" i="3"/>
  <c r="G969" i="3" l="1"/>
  <c r="E969" i="3"/>
  <c r="H969" i="3" s="1"/>
  <c r="F969" i="3" l="1"/>
  <c r="I969" i="3"/>
  <c r="J969" i="3"/>
  <c r="AD969" i="3" s="1"/>
  <c r="M969" i="3"/>
  <c r="N969" i="3" s="1"/>
  <c r="K969" i="3"/>
  <c r="AE969" i="3" s="1"/>
  <c r="V969" i="3" l="1"/>
  <c r="W969" i="3" s="1"/>
  <c r="A970" i="3"/>
  <c r="B970" i="3" s="1"/>
  <c r="L969" i="3"/>
  <c r="U969" i="3" l="1"/>
  <c r="Y968" i="3"/>
  <c r="AA970" i="3"/>
  <c r="P970" i="3"/>
  <c r="Q970" i="3" s="1"/>
  <c r="R970" i="3" s="1"/>
  <c r="S970" i="3" s="1"/>
  <c r="AC970" i="3"/>
  <c r="Z970" i="3"/>
  <c r="T970" i="3" l="1"/>
  <c r="E970" i="3" s="1"/>
  <c r="H970" i="3" s="1"/>
  <c r="AH970" i="3" l="1"/>
  <c r="K970" i="3"/>
  <c r="AE970" i="3" s="1"/>
  <c r="D970" i="3"/>
  <c r="AG970" i="3"/>
  <c r="V970" i="3" l="1"/>
  <c r="A971" i="3"/>
  <c r="B971" i="3" s="1"/>
  <c r="F970" i="3"/>
  <c r="G970" i="3"/>
  <c r="I970" i="3" l="1"/>
  <c r="W970" i="3" s="1"/>
  <c r="J970" i="3"/>
  <c r="AD970" i="3" s="1"/>
  <c r="M970" i="3"/>
  <c r="N970" i="3" s="1"/>
  <c r="P971" i="3"/>
  <c r="Q971" i="3" s="1"/>
  <c r="R971" i="3" s="1"/>
  <c r="S971" i="3" s="1"/>
  <c r="Z971" i="3"/>
  <c r="AC971" i="3"/>
  <c r="AA971" i="3"/>
  <c r="T971" i="3" l="1"/>
  <c r="L970" i="3"/>
  <c r="U970" i="3" l="1"/>
  <c r="E971" i="3" s="1"/>
  <c r="H971" i="3" s="1"/>
  <c r="AH971" i="3"/>
  <c r="AG971" i="3"/>
  <c r="Y969" i="3"/>
  <c r="K971" i="3" l="1"/>
  <c r="AE971" i="3" s="1"/>
  <c r="D971" i="3"/>
  <c r="V971" i="3" l="1"/>
  <c r="A972" i="3"/>
  <c r="B972" i="3" s="1"/>
  <c r="F971" i="3"/>
  <c r="G971" i="3"/>
  <c r="I971" i="3" l="1"/>
  <c r="W971" i="3" s="1"/>
  <c r="J971" i="3"/>
  <c r="AD971" i="3" s="1"/>
  <c r="M971" i="3"/>
  <c r="N971" i="3" s="1"/>
  <c r="AC972" i="3"/>
  <c r="Z972" i="3"/>
  <c r="P972" i="3"/>
  <c r="Q972" i="3" s="1"/>
  <c r="R972" i="3" s="1"/>
  <c r="S972" i="3" s="1"/>
  <c r="AA972" i="3"/>
  <c r="T972" i="3" l="1"/>
  <c r="L971" i="3"/>
  <c r="U971" i="3" l="1"/>
  <c r="D972" i="3" s="1"/>
  <c r="AH972" i="3"/>
  <c r="AG972" i="3"/>
  <c r="Y970" i="3"/>
  <c r="E972" i="3" l="1"/>
  <c r="H972" i="3" s="1"/>
  <c r="K972" i="3" s="1"/>
  <c r="AE972" i="3" s="1"/>
  <c r="G972" i="3"/>
  <c r="F972" i="3" l="1"/>
  <c r="V972" i="3"/>
  <c r="A973" i="3"/>
  <c r="B973" i="3" s="1"/>
  <c r="I972" i="3"/>
  <c r="J972" i="3"/>
  <c r="AD972" i="3" s="1"/>
  <c r="M972" i="3"/>
  <c r="N972" i="3" s="1"/>
  <c r="W972" i="3" l="1"/>
  <c r="L972" i="3"/>
  <c r="AC973" i="3"/>
  <c r="P973" i="3"/>
  <c r="Q973" i="3" s="1"/>
  <c r="R973" i="3" s="1"/>
  <c r="S973" i="3" s="1"/>
  <c r="Z973" i="3"/>
  <c r="AA973" i="3"/>
  <c r="U972" i="3" l="1"/>
  <c r="Y971" i="3"/>
  <c r="T973" i="3"/>
  <c r="AG973" i="3" s="1"/>
  <c r="D973" i="3" l="1"/>
  <c r="G973" i="3" s="1"/>
  <c r="E973" i="3"/>
  <c r="H973" i="3" s="1"/>
  <c r="K973" i="3" s="1"/>
  <c r="AE973" i="3" s="1"/>
  <c r="AH973" i="3"/>
  <c r="F973" i="3" l="1"/>
  <c r="I973" i="3"/>
  <c r="J973" i="3"/>
  <c r="AD973" i="3" s="1"/>
  <c r="M973" i="3"/>
  <c r="N973" i="3" s="1"/>
  <c r="V973" i="3"/>
  <c r="A974" i="3"/>
  <c r="B974" i="3" s="1"/>
  <c r="W973" i="3" l="1"/>
  <c r="L973" i="3"/>
  <c r="P974" i="3"/>
  <c r="Q974" i="3" s="1"/>
  <c r="R974" i="3" s="1"/>
  <c r="S974" i="3" s="1"/>
  <c r="AA974" i="3"/>
  <c r="Z974" i="3"/>
  <c r="AC974" i="3"/>
  <c r="T974" i="3" l="1"/>
  <c r="AG974" i="3" s="1"/>
  <c r="U973" i="3"/>
  <c r="Y972" i="3"/>
  <c r="AH974" i="3" l="1"/>
  <c r="E974" i="3"/>
  <c r="H974" i="3" s="1"/>
  <c r="D974" i="3"/>
  <c r="K974" i="3" l="1"/>
  <c r="AE974" i="3" s="1"/>
  <c r="F974" i="3"/>
  <c r="G974" i="3"/>
  <c r="I974" i="3" l="1"/>
  <c r="J974" i="3"/>
  <c r="AD974" i="3" s="1"/>
  <c r="M974" i="3"/>
  <c r="N974" i="3" s="1"/>
  <c r="V974" i="3"/>
  <c r="A975" i="3"/>
  <c r="B975" i="3" s="1"/>
  <c r="W974" i="3" l="1"/>
  <c r="L974" i="3"/>
  <c r="AD975" i="3"/>
  <c r="P975" i="3"/>
  <c r="Q975" i="3" s="1"/>
  <c r="R975" i="3" s="1"/>
  <c r="S975" i="3" s="1"/>
  <c r="AC975" i="3"/>
  <c r="Z975" i="3"/>
  <c r="AA975" i="3"/>
  <c r="U974" i="3" l="1"/>
  <c r="Y973" i="3"/>
  <c r="T975" i="3"/>
  <c r="D975" i="3" l="1"/>
  <c r="G975" i="3" s="1"/>
  <c r="AH975" i="3"/>
  <c r="E975" i="3"/>
  <c r="H975" i="3" s="1"/>
  <c r="K975" i="3" s="1"/>
  <c r="AE975" i="3" s="1"/>
  <c r="AG975" i="3"/>
  <c r="F975" i="3" l="1"/>
  <c r="V975" i="3"/>
  <c r="A976" i="3"/>
  <c r="B976" i="3" s="1"/>
  <c r="I975" i="3"/>
  <c r="J975" i="3"/>
  <c r="M975" i="3"/>
  <c r="N975" i="3" s="1"/>
  <c r="W975" i="3" l="1"/>
  <c r="L975" i="3"/>
  <c r="AA976" i="3"/>
  <c r="AC976" i="3"/>
  <c r="Z976" i="3"/>
  <c r="AD976" i="3"/>
  <c r="P976" i="3"/>
  <c r="Q976" i="3" s="1"/>
  <c r="R976" i="3" s="1"/>
  <c r="S976" i="3" s="1"/>
  <c r="U975" i="3" l="1"/>
  <c r="Y974" i="3"/>
  <c r="T976" i="3"/>
  <c r="AG976" i="3" s="1"/>
  <c r="AH976" i="3" l="1"/>
  <c r="E976" i="3"/>
  <c r="H976" i="3" s="1"/>
  <c r="D976" i="3"/>
  <c r="K976" i="3" l="1"/>
  <c r="AE976" i="3" s="1"/>
  <c r="F976" i="3"/>
  <c r="G976" i="3"/>
  <c r="I976" i="3" l="1"/>
  <c r="J976" i="3"/>
  <c r="M976" i="3"/>
  <c r="N976" i="3" s="1"/>
  <c r="V976" i="3"/>
  <c r="A977" i="3"/>
  <c r="B977" i="3" s="1"/>
  <c r="W976" i="3" l="1"/>
  <c r="L976" i="3"/>
  <c r="Z977" i="3"/>
  <c r="P977" i="3"/>
  <c r="Q977" i="3" s="1"/>
  <c r="R977" i="3" s="1"/>
  <c r="S977" i="3" s="1"/>
  <c r="AC977" i="3"/>
  <c r="AA977" i="3"/>
  <c r="AD977" i="3"/>
  <c r="T977" i="3" l="1"/>
  <c r="U976" i="3"/>
  <c r="Y975" i="3"/>
  <c r="E977" i="3" l="1"/>
  <c r="H977" i="3" s="1"/>
  <c r="K977" i="3" s="1"/>
  <c r="AE977" i="3" s="1"/>
  <c r="AG977" i="3"/>
  <c r="D977" i="3"/>
  <c r="G977" i="3" s="1"/>
  <c r="AH977" i="3"/>
  <c r="F977" i="3" l="1"/>
  <c r="I977" i="3"/>
  <c r="J977" i="3"/>
  <c r="M977" i="3"/>
  <c r="N977" i="3" s="1"/>
  <c r="V977" i="3"/>
  <c r="A978" i="3"/>
  <c r="B978" i="3" s="1"/>
  <c r="W977" i="3" l="1"/>
  <c r="L977" i="3"/>
  <c r="AC978" i="3"/>
  <c r="AD978" i="3"/>
  <c r="Z978" i="3"/>
  <c r="AA978" i="3"/>
  <c r="P978" i="3"/>
  <c r="Q978" i="3" s="1"/>
  <c r="R978" i="3" s="1"/>
  <c r="S978" i="3" s="1"/>
  <c r="T978" i="3" l="1"/>
  <c r="U977" i="3"/>
  <c r="Y976" i="3"/>
  <c r="D978" i="3" l="1"/>
  <c r="G978" i="3" s="1"/>
  <c r="E978" i="3"/>
  <c r="H978" i="3" s="1"/>
  <c r="K978" i="3" s="1"/>
  <c r="AE978" i="3" s="1"/>
  <c r="AH978" i="3"/>
  <c r="AG978" i="3"/>
  <c r="F978" i="3" l="1"/>
  <c r="I978" i="3"/>
  <c r="J978" i="3"/>
  <c r="M978" i="3"/>
  <c r="N978" i="3" s="1"/>
  <c r="V978" i="3"/>
  <c r="A979" i="3"/>
  <c r="B979" i="3" s="1"/>
  <c r="W978" i="3" l="1"/>
  <c r="L978" i="3"/>
  <c r="AC979" i="3"/>
  <c r="AA979" i="3"/>
  <c r="AD979" i="3"/>
  <c r="Z979" i="3"/>
  <c r="P979" i="3"/>
  <c r="Q979" i="3" s="1"/>
  <c r="R979" i="3" s="1"/>
  <c r="S979" i="3" s="1"/>
  <c r="T979" i="3" l="1"/>
  <c r="U978" i="3"/>
  <c r="Y977" i="3"/>
  <c r="D979" i="3" l="1"/>
  <c r="G979" i="3" s="1"/>
  <c r="AH979" i="3"/>
  <c r="E979" i="3"/>
  <c r="H979" i="3" s="1"/>
  <c r="K979" i="3" s="1"/>
  <c r="AE979" i="3" s="1"/>
  <c r="AG979" i="3"/>
  <c r="F979" i="3" l="1"/>
  <c r="V979" i="3"/>
  <c r="A980" i="3"/>
  <c r="B980" i="3" s="1"/>
  <c r="I979" i="3"/>
  <c r="J979" i="3"/>
  <c r="M979" i="3"/>
  <c r="N979" i="3" s="1"/>
  <c r="W979" i="3" l="1"/>
  <c r="L979" i="3"/>
  <c r="P980" i="3"/>
  <c r="Q980" i="3" s="1"/>
  <c r="R980" i="3" s="1"/>
  <c r="S980" i="3" s="1"/>
  <c r="AA980" i="3"/>
  <c r="AD980" i="3"/>
  <c r="AC980" i="3"/>
  <c r="Z980" i="3"/>
  <c r="U979" i="3" l="1"/>
  <c r="Y978" i="3"/>
  <c r="T980" i="3"/>
  <c r="AH980" i="3" s="1"/>
  <c r="D980" i="3" l="1"/>
  <c r="G980" i="3" s="1"/>
  <c r="E980" i="3"/>
  <c r="H980" i="3" s="1"/>
  <c r="K980" i="3" s="1"/>
  <c r="AE980" i="3" s="1"/>
  <c r="AG980" i="3"/>
  <c r="F980" i="3" l="1"/>
  <c r="I980" i="3"/>
  <c r="J980" i="3"/>
  <c r="M980" i="3"/>
  <c r="N980" i="3" s="1"/>
  <c r="V980" i="3"/>
  <c r="A981" i="3"/>
  <c r="B981" i="3" s="1"/>
  <c r="W980" i="3" l="1"/>
  <c r="L980" i="3"/>
  <c r="AD981" i="3"/>
  <c r="AA981" i="3"/>
  <c r="AC981" i="3"/>
  <c r="Z981" i="3"/>
  <c r="P981" i="3"/>
  <c r="Q981" i="3" s="1"/>
  <c r="R981" i="3" s="1"/>
  <c r="S981" i="3" s="1"/>
  <c r="U980" i="3" l="1"/>
  <c r="Y979" i="3"/>
  <c r="T981" i="3"/>
  <c r="AH981" i="3" s="1"/>
  <c r="D981" i="3" l="1"/>
  <c r="G981" i="3" s="1"/>
  <c r="AG981" i="3"/>
  <c r="E981" i="3"/>
  <c r="H981" i="3" s="1"/>
  <c r="F981" i="3" l="1"/>
  <c r="I981" i="3"/>
  <c r="J981" i="3"/>
  <c r="M981" i="3"/>
  <c r="N981" i="3" s="1"/>
  <c r="K981" i="3"/>
  <c r="AE981" i="3" s="1"/>
  <c r="V981" i="3" l="1"/>
  <c r="W981" i="3" s="1"/>
  <c r="A982" i="3"/>
  <c r="B982" i="3" s="1"/>
  <c r="L981" i="3"/>
  <c r="U981" i="3" l="1"/>
  <c r="Y980" i="3"/>
  <c r="P982" i="3"/>
  <c r="Q982" i="3" s="1"/>
  <c r="R982" i="3" s="1"/>
  <c r="S982" i="3" s="1"/>
  <c r="AD982" i="3"/>
  <c r="AC982" i="3"/>
  <c r="AA982" i="3"/>
  <c r="Z982" i="3"/>
  <c r="T982" i="3" l="1"/>
  <c r="E982" i="3" s="1"/>
  <c r="H982" i="3" s="1"/>
  <c r="AG982" i="3" l="1"/>
  <c r="AH982" i="3"/>
  <c r="D982" i="3"/>
  <c r="G982" i="3" s="1"/>
  <c r="K982" i="3"/>
  <c r="AE982" i="3" s="1"/>
  <c r="F982" i="3" l="1"/>
  <c r="I982" i="3"/>
  <c r="J982" i="3"/>
  <c r="M982" i="3"/>
  <c r="N982" i="3" s="1"/>
  <c r="V982" i="3"/>
  <c r="A983" i="3"/>
  <c r="B983" i="3" s="1"/>
  <c r="W982" i="3" l="1"/>
  <c r="L982" i="3"/>
  <c r="AD983" i="3"/>
  <c r="Z983" i="3"/>
  <c r="P983" i="3"/>
  <c r="Q983" i="3" s="1"/>
  <c r="R983" i="3" s="1"/>
  <c r="S983" i="3" s="1"/>
  <c r="AA983" i="3"/>
  <c r="AC983" i="3"/>
  <c r="U982" i="3" l="1"/>
  <c r="Y981" i="3"/>
  <c r="T983" i="3"/>
  <c r="AG983" i="3" s="1"/>
  <c r="E983" i="3" l="1"/>
  <c r="H983" i="3" s="1"/>
  <c r="K983" i="3" s="1"/>
  <c r="AE983" i="3" s="1"/>
  <c r="D983" i="3"/>
  <c r="AH983" i="3"/>
  <c r="F983" i="3" l="1"/>
  <c r="G983" i="3"/>
  <c r="M983" i="3" s="1"/>
  <c r="N983" i="3" s="1"/>
  <c r="V983" i="3"/>
  <c r="A984" i="3"/>
  <c r="B984" i="3" s="1"/>
  <c r="I983" i="3" l="1"/>
  <c r="W983" i="3" s="1"/>
  <c r="J983" i="3"/>
  <c r="L983" i="3" s="1"/>
  <c r="P984" i="3"/>
  <c r="Q984" i="3" s="1"/>
  <c r="R984" i="3" s="1"/>
  <c r="S984" i="3" s="1"/>
  <c r="AA984" i="3"/>
  <c r="Z984" i="3"/>
  <c r="AC984" i="3"/>
  <c r="U983" i="3" l="1"/>
  <c r="Y982" i="3"/>
  <c r="T984" i="3"/>
  <c r="E984" i="3" l="1"/>
  <c r="H984" i="3" s="1"/>
  <c r="K984" i="3" s="1"/>
  <c r="AE984" i="3" s="1"/>
  <c r="AG984" i="3"/>
  <c r="D984" i="3"/>
  <c r="AH984" i="3"/>
  <c r="F984" i="3" l="1"/>
  <c r="G984" i="3"/>
  <c r="V984" i="3"/>
  <c r="A985" i="3"/>
  <c r="B985" i="3" s="1"/>
  <c r="AA985" i="3" l="1"/>
  <c r="Z985" i="3"/>
  <c r="P985" i="3"/>
  <c r="Q985" i="3" s="1"/>
  <c r="R985" i="3" s="1"/>
  <c r="S985" i="3" s="1"/>
  <c r="AD985" i="3"/>
  <c r="AC985" i="3"/>
  <c r="I984" i="3"/>
  <c r="W984" i="3" s="1"/>
  <c r="J984" i="3"/>
  <c r="AD984" i="3" s="1"/>
  <c r="M984" i="3"/>
  <c r="N984" i="3" s="1"/>
  <c r="T985" i="3" l="1"/>
  <c r="L984" i="3"/>
  <c r="AG985" i="3" l="1"/>
  <c r="AH985" i="3"/>
  <c r="U984" i="3"/>
  <c r="D985" i="3" s="1"/>
  <c r="Y983" i="3"/>
  <c r="G985" i="3" l="1"/>
  <c r="E985" i="3"/>
  <c r="H985" i="3" s="1"/>
  <c r="I985" i="3" l="1"/>
  <c r="J985" i="3"/>
  <c r="M985" i="3"/>
  <c r="N985" i="3" s="1"/>
  <c r="F985" i="3"/>
  <c r="K985" i="3"/>
  <c r="AE985" i="3" s="1"/>
  <c r="L985" i="3" l="1"/>
  <c r="V985" i="3"/>
  <c r="W985" i="3" s="1"/>
  <c r="A986" i="3"/>
  <c r="B986" i="3" s="1"/>
  <c r="U985" i="3" l="1"/>
  <c r="Y984" i="3"/>
  <c r="AC986" i="3"/>
  <c r="P986" i="3"/>
  <c r="Q986" i="3" s="1"/>
  <c r="R986" i="3" s="1"/>
  <c r="S986" i="3" s="1"/>
  <c r="Z986" i="3"/>
  <c r="AD986" i="3"/>
  <c r="AA986" i="3"/>
  <c r="T986" i="3" l="1"/>
  <c r="E986" i="3" s="1"/>
  <c r="H986" i="3" s="1"/>
  <c r="AG986" i="3" l="1"/>
  <c r="K986" i="3"/>
  <c r="AE986" i="3" s="1"/>
  <c r="AH986" i="3"/>
  <c r="D986" i="3"/>
  <c r="F986" i="3" l="1"/>
  <c r="G986" i="3"/>
  <c r="V986" i="3"/>
  <c r="A987" i="3"/>
  <c r="B987" i="3" s="1"/>
  <c r="Z987" i="3" l="1"/>
  <c r="AC987" i="3"/>
  <c r="P987" i="3"/>
  <c r="Q987" i="3" s="1"/>
  <c r="R987" i="3" s="1"/>
  <c r="S987" i="3" s="1"/>
  <c r="AD987" i="3"/>
  <c r="AA987" i="3"/>
  <c r="I986" i="3"/>
  <c r="W986" i="3" s="1"/>
  <c r="J986" i="3"/>
  <c r="M986" i="3"/>
  <c r="N986" i="3" s="1"/>
  <c r="L986" i="3" l="1"/>
  <c r="T987" i="3"/>
  <c r="U986" i="3" l="1"/>
  <c r="E987" i="3" s="1"/>
  <c r="H987" i="3" s="1"/>
  <c r="AH987" i="3"/>
  <c r="AG987" i="3"/>
  <c r="Y985" i="3"/>
  <c r="K987" i="3" l="1"/>
  <c r="AE987" i="3" s="1"/>
  <c r="D987" i="3"/>
  <c r="V987" i="3" l="1"/>
  <c r="A988" i="3"/>
  <c r="B988" i="3" s="1"/>
  <c r="F987" i="3"/>
  <c r="G987" i="3"/>
  <c r="I987" i="3" l="1"/>
  <c r="W987" i="3" s="1"/>
  <c r="J987" i="3"/>
  <c r="M987" i="3"/>
  <c r="N987" i="3" s="1"/>
  <c r="AC988" i="3"/>
  <c r="Z988" i="3"/>
  <c r="AD988" i="3"/>
  <c r="AA988" i="3"/>
  <c r="P988" i="3"/>
  <c r="Q988" i="3" s="1"/>
  <c r="R988" i="3" s="1"/>
  <c r="S988" i="3" s="1"/>
  <c r="L987" i="3" l="1"/>
  <c r="T988" i="3"/>
  <c r="AH988" i="3" l="1"/>
  <c r="U987" i="3"/>
  <c r="E988" i="3" s="1"/>
  <c r="H988" i="3" s="1"/>
  <c r="AG988" i="3"/>
  <c r="Y986" i="3"/>
  <c r="D988" i="3" l="1"/>
  <c r="G988" i="3" s="1"/>
  <c r="K988" i="3"/>
  <c r="AE988" i="3" s="1"/>
  <c r="F988" i="3" l="1"/>
  <c r="I988" i="3"/>
  <c r="J988" i="3"/>
  <c r="M988" i="3"/>
  <c r="N988" i="3" s="1"/>
  <c r="V988" i="3"/>
  <c r="A989" i="3"/>
  <c r="B989" i="3" s="1"/>
  <c r="W988" i="3" l="1"/>
  <c r="L988" i="3"/>
  <c r="AC989" i="3"/>
  <c r="AD989" i="3"/>
  <c r="P989" i="3"/>
  <c r="Q989" i="3" s="1"/>
  <c r="R989" i="3" s="1"/>
  <c r="S989" i="3" s="1"/>
  <c r="Z989" i="3"/>
  <c r="AA989" i="3"/>
  <c r="T989" i="3" l="1"/>
  <c r="U988" i="3"/>
  <c r="Y987" i="3"/>
  <c r="D989" i="3" l="1"/>
  <c r="G989" i="3" s="1"/>
  <c r="AG989" i="3"/>
  <c r="E989" i="3"/>
  <c r="H989" i="3" s="1"/>
  <c r="AH989" i="3"/>
  <c r="F989" i="3" l="1"/>
  <c r="I989" i="3"/>
  <c r="J989" i="3"/>
  <c r="M989" i="3"/>
  <c r="N989" i="3" s="1"/>
  <c r="K989" i="3"/>
  <c r="AE989" i="3" s="1"/>
  <c r="L989" i="3" l="1"/>
  <c r="V989" i="3"/>
  <c r="W989" i="3" s="1"/>
  <c r="A990" i="3"/>
  <c r="B990" i="3" s="1"/>
  <c r="U989" i="3" l="1"/>
  <c r="Y988" i="3"/>
  <c r="AC990" i="3"/>
  <c r="AD990" i="3"/>
  <c r="AA990" i="3"/>
  <c r="Z990" i="3"/>
  <c r="P990" i="3"/>
  <c r="Q990" i="3" s="1"/>
  <c r="R990" i="3" s="1"/>
  <c r="S990" i="3" s="1"/>
  <c r="T990" i="3" l="1"/>
  <c r="E990" i="3" s="1"/>
  <c r="H990" i="3" s="1"/>
  <c r="AH990" i="3" l="1"/>
  <c r="D990" i="3"/>
  <c r="G990" i="3" s="1"/>
  <c r="AG990" i="3"/>
  <c r="K990" i="3"/>
  <c r="AE990" i="3" s="1"/>
  <c r="F990" i="3" l="1"/>
  <c r="V990" i="3"/>
  <c r="A991" i="3"/>
  <c r="B991" i="3" s="1"/>
  <c r="I990" i="3"/>
  <c r="J990" i="3"/>
  <c r="M990" i="3"/>
  <c r="N990" i="3" s="1"/>
  <c r="L990" i="3" l="1"/>
  <c r="W990" i="3"/>
  <c r="AA991" i="3"/>
  <c r="AD991" i="3"/>
  <c r="P991" i="3"/>
  <c r="Q991" i="3" s="1"/>
  <c r="R991" i="3" s="1"/>
  <c r="S991" i="3" s="1"/>
  <c r="Z991" i="3"/>
  <c r="AC991" i="3"/>
  <c r="U990" i="3" l="1"/>
  <c r="Y989" i="3"/>
  <c r="T991" i="3"/>
  <c r="D991" i="3" l="1"/>
  <c r="G991" i="3" s="1"/>
  <c r="E991" i="3"/>
  <c r="H991" i="3" s="1"/>
  <c r="K991" i="3" s="1"/>
  <c r="AE991" i="3" s="1"/>
  <c r="AG991" i="3"/>
  <c r="AH991" i="3"/>
  <c r="F991" i="3" l="1"/>
  <c r="V991" i="3"/>
  <c r="A992" i="3"/>
  <c r="B992" i="3" s="1"/>
  <c r="I991" i="3"/>
  <c r="J991" i="3"/>
  <c r="M991" i="3"/>
  <c r="N991" i="3" s="1"/>
  <c r="W991" i="3" l="1"/>
  <c r="L991" i="3"/>
  <c r="AC992" i="3"/>
  <c r="AD992" i="3"/>
  <c r="Z992" i="3"/>
  <c r="AA992" i="3"/>
  <c r="P992" i="3"/>
  <c r="Q992" i="3" s="1"/>
  <c r="R992" i="3" s="1"/>
  <c r="S992" i="3" s="1"/>
  <c r="U991" i="3" l="1"/>
  <c r="Y990" i="3"/>
  <c r="T992" i="3"/>
  <c r="AG992" i="3" s="1"/>
  <c r="D992" i="3" l="1"/>
  <c r="AH992" i="3"/>
  <c r="E992" i="3"/>
  <c r="H992" i="3" s="1"/>
  <c r="K992" i="3" s="1"/>
  <c r="AE992" i="3" s="1"/>
  <c r="F992" i="3" l="1"/>
  <c r="G992" i="3"/>
  <c r="M992" i="3" s="1"/>
  <c r="N992" i="3" s="1"/>
  <c r="V992" i="3"/>
  <c r="A993" i="3"/>
  <c r="B993" i="3" s="1"/>
  <c r="I992" i="3" l="1"/>
  <c r="W992" i="3" s="1"/>
  <c r="J992" i="3"/>
  <c r="L992" i="3" s="1"/>
  <c r="AD993" i="3"/>
  <c r="Z993" i="3"/>
  <c r="AA993" i="3"/>
  <c r="P993" i="3"/>
  <c r="Q993" i="3" s="1"/>
  <c r="R993" i="3" s="1"/>
  <c r="S993" i="3" s="1"/>
  <c r="AC993" i="3"/>
  <c r="U992" i="3" l="1"/>
  <c r="Y991" i="3"/>
  <c r="T993" i="3"/>
  <c r="AH993" i="3" s="1"/>
  <c r="D993" i="3" l="1"/>
  <c r="G993" i="3" s="1"/>
  <c r="E993" i="3"/>
  <c r="H993" i="3" s="1"/>
  <c r="K993" i="3" s="1"/>
  <c r="AE993" i="3" s="1"/>
  <c r="AG993" i="3"/>
  <c r="F993" i="3" l="1"/>
  <c r="V993" i="3"/>
  <c r="A994" i="3"/>
  <c r="B994" i="3" s="1"/>
  <c r="I993" i="3"/>
  <c r="J993" i="3"/>
  <c r="M993" i="3"/>
  <c r="N993" i="3" s="1"/>
  <c r="L993" i="3" l="1"/>
  <c r="W993" i="3"/>
  <c r="AA994" i="3"/>
  <c r="P994" i="3"/>
  <c r="Q994" i="3" s="1"/>
  <c r="R994" i="3" s="1"/>
  <c r="S994" i="3" s="1"/>
  <c r="Z994" i="3"/>
  <c r="AC994" i="3"/>
  <c r="U993" i="3" l="1"/>
  <c r="Y992" i="3"/>
  <c r="T994" i="3"/>
  <c r="AH994" i="3" s="1"/>
  <c r="E994" i="3" l="1"/>
  <c r="H994" i="3" s="1"/>
  <c r="K994" i="3" s="1"/>
  <c r="AE994" i="3" s="1"/>
  <c r="D994" i="3"/>
  <c r="AG994" i="3"/>
  <c r="F994" i="3" l="1"/>
  <c r="G994" i="3"/>
  <c r="J994" i="3" s="1"/>
  <c r="AD994" i="3" s="1"/>
  <c r="V994" i="3"/>
  <c r="A995" i="3"/>
  <c r="B995" i="3" s="1"/>
  <c r="M994" i="3" l="1"/>
  <c r="N994" i="3" s="1"/>
  <c r="I994" i="3"/>
  <c r="W994" i="3" s="1"/>
  <c r="L994" i="3"/>
  <c r="AA995" i="3"/>
  <c r="P995" i="3"/>
  <c r="Q995" i="3" s="1"/>
  <c r="R995" i="3" s="1"/>
  <c r="S995" i="3" s="1"/>
  <c r="AC995" i="3"/>
  <c r="Z995" i="3"/>
  <c r="T995" i="3" l="1"/>
  <c r="U994" i="3"/>
  <c r="Y993" i="3"/>
  <c r="D995" i="3" l="1"/>
  <c r="G995" i="3" s="1"/>
  <c r="E995" i="3"/>
  <c r="H995" i="3" s="1"/>
  <c r="K995" i="3" s="1"/>
  <c r="AE995" i="3" s="1"/>
  <c r="AH995" i="3"/>
  <c r="AG995" i="3"/>
  <c r="F995" i="3" l="1"/>
  <c r="I995" i="3"/>
  <c r="J995" i="3"/>
  <c r="AD995" i="3" s="1"/>
  <c r="M995" i="3"/>
  <c r="N995" i="3" s="1"/>
  <c r="V995" i="3"/>
  <c r="A996" i="3"/>
  <c r="B996" i="3" s="1"/>
  <c r="W995" i="3" l="1"/>
  <c r="L995" i="3"/>
  <c r="Z996" i="3"/>
  <c r="P996" i="3"/>
  <c r="Q996" i="3" s="1"/>
  <c r="R996" i="3" s="1"/>
  <c r="S996" i="3" s="1"/>
  <c r="AA996" i="3"/>
  <c r="AC996" i="3"/>
  <c r="U995" i="3" l="1"/>
  <c r="Y994" i="3"/>
  <c r="T996" i="3"/>
  <c r="D996" i="3" l="1"/>
  <c r="G996" i="3" s="1"/>
  <c r="AG996" i="3"/>
  <c r="E996" i="3"/>
  <c r="H996" i="3" s="1"/>
  <c r="K996" i="3" s="1"/>
  <c r="AE996" i="3" s="1"/>
  <c r="AH996" i="3"/>
  <c r="F996" i="3" l="1"/>
  <c r="I996" i="3"/>
  <c r="J996" i="3"/>
  <c r="AD996" i="3" s="1"/>
  <c r="M996" i="3"/>
  <c r="N996" i="3" s="1"/>
  <c r="V996" i="3"/>
  <c r="A997" i="3"/>
  <c r="B997" i="3" s="1"/>
  <c r="P997" i="3" l="1"/>
  <c r="Q997" i="3" s="1"/>
  <c r="R997" i="3" s="1"/>
  <c r="S997" i="3" s="1"/>
  <c r="Z997" i="3"/>
  <c r="AA997" i="3"/>
  <c r="AC997" i="3"/>
  <c r="L996" i="3"/>
  <c r="W996" i="3"/>
  <c r="U996" i="3" l="1"/>
  <c r="Y995" i="3"/>
  <c r="T997" i="3"/>
  <c r="AH997" i="3" s="1"/>
  <c r="AG997" i="3" l="1"/>
  <c r="D997" i="3"/>
  <c r="E997" i="3"/>
  <c r="H997" i="3" s="1"/>
  <c r="K997" i="3" s="1"/>
  <c r="AE997" i="3" s="1"/>
  <c r="F997" i="3" l="1"/>
  <c r="G997" i="3"/>
  <c r="I997" i="3" s="1"/>
  <c r="V997" i="3"/>
  <c r="A998" i="3"/>
  <c r="B998" i="3" s="1"/>
  <c r="J997" i="3" l="1"/>
  <c r="M997" i="3"/>
  <c r="N997" i="3" s="1"/>
  <c r="W997" i="3"/>
  <c r="Z998" i="3"/>
  <c r="P998" i="3"/>
  <c r="Q998" i="3" s="1"/>
  <c r="R998" i="3" s="1"/>
  <c r="S998" i="3" s="1"/>
  <c r="AC998" i="3"/>
  <c r="AA998" i="3"/>
  <c r="L997" i="3" l="1"/>
  <c r="U997" i="3" s="1"/>
  <c r="AD997" i="3"/>
  <c r="T998" i="3"/>
  <c r="Y996" i="3" l="1"/>
  <c r="AG998" i="3"/>
  <c r="E998" i="3"/>
  <c r="H998" i="3" s="1"/>
  <c r="K998" i="3" s="1"/>
  <c r="AE998" i="3" s="1"/>
  <c r="AH998" i="3"/>
  <c r="D998" i="3"/>
  <c r="V998" i="3" l="1"/>
  <c r="A999" i="3"/>
  <c r="B999" i="3" s="1"/>
  <c r="F998" i="3"/>
  <c r="G998" i="3"/>
  <c r="I998" i="3" l="1"/>
  <c r="W998" i="3" s="1"/>
  <c r="J998" i="3"/>
  <c r="AD998" i="3" s="1"/>
  <c r="M998" i="3"/>
  <c r="N998" i="3" s="1"/>
  <c r="Z999" i="3"/>
  <c r="AC999" i="3"/>
  <c r="AA999" i="3"/>
  <c r="P999" i="3"/>
  <c r="Q999" i="3" s="1"/>
  <c r="R999" i="3" s="1"/>
  <c r="S999" i="3" s="1"/>
  <c r="T999" i="3" l="1"/>
  <c r="L998" i="3"/>
  <c r="AG999" i="3" l="1"/>
  <c r="U998" i="3"/>
  <c r="D999" i="3" s="1"/>
  <c r="AH999" i="3"/>
  <c r="Y997" i="3"/>
  <c r="E999" i="3" l="1"/>
  <c r="H999" i="3" s="1"/>
  <c r="K999" i="3" s="1"/>
  <c r="AE999" i="3" s="1"/>
  <c r="G999" i="3"/>
  <c r="F999" i="3" l="1"/>
  <c r="I999" i="3"/>
  <c r="J999" i="3"/>
  <c r="AD999" i="3" s="1"/>
  <c r="M999" i="3"/>
  <c r="N999" i="3" s="1"/>
  <c r="V999" i="3"/>
  <c r="A1000" i="3"/>
  <c r="B1000" i="3" s="1"/>
  <c r="W999" i="3" l="1"/>
  <c r="L999" i="3"/>
  <c r="AC1000" i="3"/>
  <c r="P1000" i="3"/>
  <c r="Q1000" i="3" s="1"/>
  <c r="R1000" i="3" s="1"/>
  <c r="S1000" i="3" s="1"/>
  <c r="Z1000" i="3"/>
  <c r="AA1000" i="3"/>
  <c r="U999" i="3" l="1"/>
  <c r="Y998" i="3"/>
  <c r="T1000" i="3"/>
  <c r="AG1000" i="3" s="1"/>
  <c r="D1000" i="3" l="1"/>
  <c r="G1000" i="3" s="1"/>
  <c r="AH1000" i="3"/>
  <c r="E1000" i="3"/>
  <c r="H1000" i="3" s="1"/>
  <c r="K1000" i="3" s="1"/>
  <c r="AE1000" i="3" s="1"/>
  <c r="F1000" i="3" l="1"/>
  <c r="I1000" i="3"/>
  <c r="J1000" i="3"/>
  <c r="AD1000" i="3" s="1"/>
  <c r="M1000" i="3"/>
  <c r="N1000" i="3" s="1"/>
  <c r="V1000" i="3"/>
  <c r="A1001" i="3"/>
  <c r="B1001" i="3" s="1"/>
  <c r="W1000" i="3" l="1"/>
  <c r="L1000" i="3"/>
  <c r="P1001" i="3"/>
  <c r="Q1001" i="3" s="1"/>
  <c r="R1001" i="3" s="1"/>
  <c r="S1001" i="3" s="1"/>
  <c r="Z1001" i="3"/>
  <c r="AC1001" i="3"/>
  <c r="AA1001" i="3"/>
  <c r="U1000" i="3" l="1"/>
  <c r="Y999" i="3"/>
  <c r="T1001" i="3"/>
  <c r="D1001" i="3" l="1"/>
  <c r="G1001" i="3" s="1"/>
  <c r="E1001" i="3"/>
  <c r="H1001" i="3" s="1"/>
  <c r="AG1001" i="3"/>
  <c r="AH1001" i="3"/>
  <c r="F1001" i="3" l="1"/>
  <c r="I1001" i="3"/>
  <c r="J1001" i="3"/>
  <c r="AD1001" i="3" s="1"/>
  <c r="M1001" i="3"/>
  <c r="N1001" i="3" s="1"/>
  <c r="K1001" i="3"/>
  <c r="AE1001" i="3" s="1"/>
  <c r="V1001" i="3" l="1"/>
  <c r="W1001" i="3" s="1"/>
  <c r="A1002" i="3"/>
  <c r="B1002" i="3" s="1"/>
  <c r="L1001" i="3"/>
  <c r="U1001" i="3" l="1"/>
  <c r="Y1000" i="3"/>
  <c r="AA1002" i="3"/>
  <c r="Z1002" i="3"/>
  <c r="AC1002" i="3"/>
  <c r="P1002" i="3"/>
  <c r="Q1002" i="3" s="1"/>
  <c r="R1002" i="3" s="1"/>
  <c r="S1002" i="3" s="1"/>
  <c r="T1002" i="3" l="1"/>
  <c r="AG1002" i="3" s="1"/>
  <c r="AH1002" i="3" l="1"/>
  <c r="D1002" i="3"/>
  <c r="G1002" i="3" s="1"/>
  <c r="E1002" i="3"/>
  <c r="H1002" i="3" s="1"/>
  <c r="K1002" i="3" s="1"/>
  <c r="AE1002" i="3" s="1"/>
  <c r="F1002" i="3" l="1"/>
  <c r="I1002" i="3"/>
  <c r="J1002" i="3"/>
  <c r="AD1002" i="3" s="1"/>
  <c r="M1002" i="3"/>
  <c r="N1002" i="3" s="1"/>
  <c r="V1002" i="3"/>
  <c r="A1003" i="3"/>
  <c r="B1003" i="3" s="1"/>
  <c r="W1002" i="3" l="1"/>
  <c r="L1002" i="3"/>
  <c r="AC1003" i="3"/>
  <c r="P1003" i="3"/>
  <c r="Q1003" i="3" s="1"/>
  <c r="R1003" i="3" s="1"/>
  <c r="S1003" i="3" s="1"/>
  <c r="AA1003" i="3"/>
  <c r="Z1003" i="3"/>
  <c r="T1003" i="3" l="1"/>
  <c r="AH1003" i="3" s="1"/>
  <c r="U1002" i="3"/>
  <c r="Y1001" i="3"/>
  <c r="D1003" i="3" l="1"/>
  <c r="G1003" i="3" s="1"/>
  <c r="E1003" i="3"/>
  <c r="H1003" i="3" s="1"/>
  <c r="K1003" i="3" s="1"/>
  <c r="AE1003" i="3" s="1"/>
  <c r="AG1003" i="3"/>
  <c r="F1003" i="3" l="1"/>
  <c r="I1003" i="3"/>
  <c r="J1003" i="3"/>
  <c r="AD1003" i="3" s="1"/>
  <c r="M1003" i="3"/>
  <c r="N1003" i="3" s="1"/>
  <c r="V1003" i="3"/>
  <c r="W1003" i="3" s="1"/>
  <c r="A1004" i="3"/>
  <c r="B1004" i="3" s="1"/>
  <c r="L1003" i="3" l="1"/>
  <c r="P1004" i="3"/>
  <c r="Q1004" i="3" s="1"/>
  <c r="R1004" i="3" s="1"/>
  <c r="S1004" i="3" s="1"/>
  <c r="T1004" i="3" s="1"/>
  <c r="AA1004" i="3"/>
  <c r="Z1004" i="3"/>
  <c r="AC1004" i="3"/>
  <c r="AG1004" i="3" l="1"/>
  <c r="AH1004" i="3"/>
  <c r="U1003" i="3"/>
  <c r="D1004" i="3" s="1"/>
  <c r="Y1002" i="3"/>
  <c r="J48" i="1"/>
  <c r="L48" i="1"/>
  <c r="I48" i="1"/>
  <c r="J25" i="1"/>
  <c r="K48" i="1"/>
  <c r="M48" i="1"/>
  <c r="K25" i="1"/>
  <c r="I25" i="1"/>
  <c r="K27" i="1"/>
  <c r="I46" i="1"/>
  <c r="L46" i="1"/>
  <c r="M46" i="1"/>
  <c r="K46" i="1"/>
  <c r="J46" i="1"/>
  <c r="I27" i="1"/>
  <c r="J27" i="1"/>
  <c r="E1004" i="3" l="1"/>
  <c r="H1004" i="3" s="1"/>
  <c r="K1004" i="3" s="1"/>
  <c r="AE1004" i="3" s="1"/>
  <c r="C122" i="1"/>
  <c r="C155" i="1"/>
  <c r="C31" i="1"/>
  <c r="C126" i="1"/>
  <c r="C121" i="1"/>
  <c r="C124" i="1"/>
  <c r="C33" i="1"/>
  <c r="J47" i="1" s="1"/>
  <c r="C129" i="1"/>
  <c r="C130" i="1" s="1"/>
  <c r="M25" i="1"/>
  <c r="I72" i="7"/>
  <c r="I73" i="7" s="1"/>
  <c r="I70" i="7"/>
  <c r="G1004" i="3"/>
  <c r="B128" i="1"/>
  <c r="B123" i="1"/>
  <c r="B127" i="1"/>
  <c r="D155" i="1"/>
  <c r="B124" i="1"/>
  <c r="B126" i="1"/>
  <c r="B129" i="1"/>
  <c r="B125" i="1"/>
  <c r="D31" i="1"/>
  <c r="D33" i="1"/>
  <c r="J49" i="1" s="1"/>
  <c r="C146" i="1"/>
  <c r="C147" i="1" s="1"/>
  <c r="C138" i="1"/>
  <c r="C141" i="1"/>
  <c r="C143" i="1"/>
  <c r="C139" i="1"/>
  <c r="B140" i="1"/>
  <c r="B143" i="1"/>
  <c r="B142" i="1"/>
  <c r="B146" i="1"/>
  <c r="B144" i="1"/>
  <c r="B141" i="1"/>
  <c r="B145" i="1"/>
  <c r="M27" i="1"/>
  <c r="H72" i="7"/>
  <c r="H73" i="7" s="1"/>
  <c r="H70" i="7"/>
  <c r="F1004" i="3" l="1"/>
  <c r="L24" i="1" s="1"/>
  <c r="H49" i="1"/>
  <c r="D32" i="1"/>
  <c r="I1004" i="3"/>
  <c r="J1004" i="3"/>
  <c r="M1004" i="3"/>
  <c r="N1004" i="3" s="1"/>
  <c r="E31" i="7"/>
  <c r="H47" i="1"/>
  <c r="C32" i="1"/>
  <c r="V1004" i="3"/>
  <c r="L42" i="1" l="1"/>
  <c r="L1004" i="3"/>
  <c r="Y1004" i="3" s="1"/>
  <c r="AD1004" i="3"/>
  <c r="W1004" i="3"/>
  <c r="B135" i="1"/>
  <c r="B137" i="1"/>
  <c r="B133" i="1"/>
  <c r="B132" i="1" s="1"/>
  <c r="F133" i="1"/>
  <c r="F134" i="1"/>
  <c r="C133" i="1"/>
  <c r="C135" i="1"/>
  <c r="K24" i="1"/>
  <c r="K42" i="1"/>
  <c r="B150" i="1"/>
  <c r="B149" i="1" s="1"/>
  <c r="B154" i="1"/>
  <c r="B152" i="1"/>
  <c r="H117" i="7"/>
  <c r="E62" i="7"/>
  <c r="F62" i="7" s="1"/>
  <c r="E120" i="7"/>
  <c r="F120" i="7" s="1"/>
  <c r="E119" i="7"/>
  <c r="F119" i="7" s="1"/>
  <c r="E133" i="7"/>
  <c r="E63" i="7"/>
  <c r="F63" i="7" s="1"/>
  <c r="H59" i="7"/>
  <c r="L31" i="7"/>
  <c r="E65" i="7"/>
  <c r="F65" i="7" s="1"/>
  <c r="Y1003" i="3" l="1"/>
  <c r="M41" i="1" s="1"/>
  <c r="U1004" i="3"/>
  <c r="J43" i="1"/>
  <c r="I41" i="1"/>
  <c r="K41" i="1"/>
  <c r="H26" i="1"/>
  <c r="J31" i="7" s="1"/>
  <c r="L43" i="1"/>
  <c r="M43" i="1"/>
  <c r="K43" i="1"/>
  <c r="H43" i="1"/>
  <c r="I44" i="1"/>
  <c r="H44" i="1"/>
  <c r="J26" i="1"/>
  <c r="D161" i="1" s="1"/>
  <c r="M44" i="1"/>
  <c r="K26" i="1"/>
  <c r="K31" i="7" s="1"/>
  <c r="K23" i="1"/>
  <c r="L41" i="1"/>
  <c r="L44" i="1"/>
  <c r="I26" i="1"/>
  <c r="B163" i="1" s="1"/>
  <c r="J41" i="1"/>
  <c r="I43" i="1"/>
  <c r="J44" i="1"/>
  <c r="H28" i="1"/>
  <c r="F151" i="1" s="1"/>
  <c r="M31" i="7"/>
  <c r="E121" i="7"/>
  <c r="F121" i="7" s="1"/>
  <c r="H116" i="7"/>
  <c r="H58" i="7"/>
  <c r="E64" i="7"/>
  <c r="F64" i="7" s="1"/>
  <c r="S26" i="6" l="1"/>
  <c r="H55" i="7"/>
  <c r="H112" i="7"/>
  <c r="H53" i="7"/>
  <c r="P31" i="1"/>
  <c r="P32" i="1"/>
  <c r="I67" i="7"/>
  <c r="H41" i="1"/>
  <c r="K44" i="1"/>
  <c r="H45" i="1"/>
  <c r="M45" i="1"/>
  <c r="L45" i="1"/>
  <c r="K45" i="1"/>
  <c r="K28" i="1" s="1"/>
  <c r="M28" i="1" s="1"/>
  <c r="J45" i="1"/>
  <c r="J28" i="1"/>
  <c r="P30" i="1"/>
  <c r="F193" i="1"/>
  <c r="F190" i="1"/>
  <c r="F171" i="1"/>
  <c r="D186" i="1"/>
  <c r="F161" i="1"/>
  <c r="F163" i="1"/>
  <c r="D166" i="1"/>
  <c r="D192" i="1"/>
  <c r="D194" i="1"/>
  <c r="D196" i="1"/>
  <c r="D173" i="1"/>
  <c r="D168" i="1"/>
  <c r="D197" i="1"/>
  <c r="D159" i="1"/>
  <c r="D185" i="1"/>
  <c r="F194" i="1"/>
  <c r="D165" i="1"/>
  <c r="D191" i="1"/>
  <c r="F183" i="1"/>
  <c r="F162" i="1"/>
  <c r="F170" i="1"/>
  <c r="F184" i="1"/>
  <c r="F168" i="1"/>
  <c r="F169" i="1"/>
  <c r="D164" i="1"/>
  <c r="F21" i="1"/>
  <c r="D177" i="1"/>
  <c r="F197" i="1"/>
  <c r="D160" i="1"/>
  <c r="F196" i="1"/>
  <c r="D162" i="1"/>
  <c r="D170" i="1"/>
  <c r="D181" i="1"/>
  <c r="F164" i="1"/>
  <c r="F165" i="1"/>
  <c r="D190" i="1"/>
  <c r="F182" i="1"/>
  <c r="F166" i="1"/>
  <c r="H44" i="7"/>
  <c r="D171" i="1"/>
  <c r="D169" i="1"/>
  <c r="F172" i="1"/>
  <c r="D179" i="1"/>
  <c r="D189" i="1"/>
  <c r="D183" i="1"/>
  <c r="F160" i="1"/>
  <c r="F195" i="1"/>
  <c r="D193" i="1"/>
  <c r="F179" i="1"/>
  <c r="D188" i="1"/>
  <c r="F185" i="1"/>
  <c r="F159" i="1"/>
  <c r="F173" i="1"/>
  <c r="D163" i="1"/>
  <c r="D184" i="1"/>
  <c r="D195" i="1"/>
  <c r="F191" i="1"/>
  <c r="H11" i="7"/>
  <c r="F181" i="1"/>
  <c r="D180" i="1"/>
  <c r="F186" i="1"/>
  <c r="F180" i="1"/>
  <c r="F187" i="1"/>
  <c r="F178" i="1"/>
  <c r="D178" i="1"/>
  <c r="D182" i="1"/>
  <c r="F192" i="1"/>
  <c r="D174" i="1"/>
  <c r="F189" i="1"/>
  <c r="F167" i="1"/>
  <c r="D187" i="1"/>
  <c r="F188" i="1"/>
  <c r="D172" i="1"/>
  <c r="F174" i="1"/>
  <c r="F177" i="1"/>
  <c r="D167" i="1"/>
  <c r="B171" i="1"/>
  <c r="B181" i="1"/>
  <c r="B170" i="1"/>
  <c r="B186" i="1"/>
  <c r="B164" i="1"/>
  <c r="B175" i="1"/>
  <c r="B166" i="1"/>
  <c r="B174" i="1"/>
  <c r="B172" i="1"/>
  <c r="B184" i="1"/>
  <c r="H113" i="7"/>
  <c r="B180" i="1"/>
  <c r="B199" i="1"/>
  <c r="B188" i="1"/>
  <c r="B165" i="1"/>
  <c r="B185" i="1"/>
  <c r="B168" i="1"/>
  <c r="H114" i="7"/>
  <c r="B198" i="1"/>
  <c r="B197" i="1"/>
  <c r="B179" i="1"/>
  <c r="B191" i="1"/>
  <c r="C156" i="1"/>
  <c r="B192" i="1"/>
  <c r="E128" i="7"/>
  <c r="F128" i="7" s="1"/>
  <c r="B194" i="1"/>
  <c r="B173" i="1"/>
  <c r="B182" i="1"/>
  <c r="B190" i="1"/>
  <c r="B193" i="1"/>
  <c r="B176" i="1"/>
  <c r="B183" i="1"/>
  <c r="B195" i="1"/>
  <c r="F132" i="1"/>
  <c r="C134" i="1" s="1"/>
  <c r="B189" i="1"/>
  <c r="B162" i="1"/>
  <c r="B169" i="1"/>
  <c r="B196" i="1"/>
  <c r="H31" i="7"/>
  <c r="B161" i="1"/>
  <c r="B167" i="1"/>
  <c r="H54" i="7"/>
  <c r="B187" i="1"/>
  <c r="B158" i="1"/>
  <c r="H57" i="7"/>
  <c r="F150" i="1"/>
  <c r="B151" i="1" s="1"/>
  <c r="H115" i="7" l="1"/>
  <c r="S25" i="6"/>
  <c r="D31" i="7"/>
  <c r="D156" i="1"/>
  <c r="H19" i="7"/>
  <c r="C118" i="1"/>
  <c r="P29" i="1"/>
  <c r="B120" i="1"/>
  <c r="H56" i="7"/>
  <c r="E129" i="7"/>
  <c r="F129" i="7" s="1"/>
  <c r="B153" i="1"/>
  <c r="C132" i="1"/>
  <c r="C151" i="1"/>
  <c r="C149" i="1"/>
  <c r="B134" i="1"/>
  <c r="B1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00000000-0006-0000-0000-000003000000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00000000-0006-0000-0000-000004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00000000-0006-0000-0000-000005000000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en dessous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Lower Diameter (cf. blue schematic).</t>
        </r>
      </text>
    </comment>
    <comment ref="L9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00000000-0006-0000-0000-000007000000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00000000-0006-0000-0000-000008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00000000-0006-0000-0000-00000B000000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00000000-0006-0000-0000-00000C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00000000-0006-0000-0000-00000D000000}">
      <text>
        <r>
          <rPr>
            <sz val="8"/>
            <color indexed="8"/>
            <rFont val="Tahoma"/>
            <family val="2"/>
          </rPr>
          <t xml:space="preserve">Les positions des </t>
        </r>
        <r>
          <rPr>
            <sz val="8"/>
            <color indexed="12"/>
            <rFont val="Tahoma"/>
            <family val="2"/>
          </rPr>
          <t>Centres de Masse</t>
        </r>
        <r>
          <rPr>
            <sz val="8"/>
            <color indexed="8"/>
            <rFont val="Tahoma"/>
            <family val="2"/>
          </rPr>
          <t xml:space="preserve"> de la fusée avec propulseur plein et vide
sont représentées sur le schéma de la fusée par un </t>
        </r>
        <r>
          <rPr>
            <sz val="8"/>
            <color indexed="12"/>
            <rFont val="Tahoma"/>
            <family val="2"/>
          </rPr>
          <t>segment vertical bleu</t>
        </r>
        <r>
          <rPr>
            <sz val="8"/>
            <color indexed="8"/>
            <rFont val="Tahoma"/>
            <family val="2"/>
          </rPr>
          <t xml:space="preserve">.
</t>
        </r>
        <r>
          <rPr>
            <i/>
            <sz val="8"/>
            <color indexed="8"/>
            <rFont val="Tahoma"/>
            <family val="2"/>
          </rPr>
          <t xml:space="preserve">Rocket Center of Mass are shown whith a </t>
        </r>
        <r>
          <rPr>
            <i/>
            <sz val="8"/>
            <color indexed="12"/>
            <rFont val="Tahoma"/>
            <family val="2"/>
          </rPr>
          <t>blue segment</t>
        </r>
        <r>
          <rPr>
            <i/>
            <sz val="8"/>
            <color indexed="8"/>
            <rFont val="Tahoma"/>
            <family val="2"/>
          </rPr>
          <t xml:space="preserve"> in Rocket schematic.</t>
        </r>
      </text>
    </comment>
    <comment ref="S17" authorId="0" shapeId="0" xr:uid="{00000000-0006-0000-0000-00000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0000000-0006-0000-0000-00000F00000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00000000-0006-0000-0000-000010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S19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Distance entre la pointe de l'ogive et le point </t>
        </r>
        <r>
          <rPr>
            <b/>
            <sz val="8"/>
            <color rgb="FF000000"/>
            <rFont val="Tahoma"/>
            <family val="2"/>
          </rPr>
          <t>inférieur</t>
        </r>
        <r>
          <rPr>
            <sz val="8"/>
            <color rgb="FF000000"/>
            <rFont val="Tahoma"/>
            <family val="2"/>
          </rPr>
          <t xml:space="preserve"> de l'encastrement des ailerons.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rgb="FF000000"/>
            <rFont val="Tahoma"/>
            <family val="2"/>
          </rPr>
          <t>lower</t>
        </r>
        <r>
          <rPr>
            <i/>
            <sz val="8"/>
            <color rgb="FF000000"/>
            <rFont val="Tahoma"/>
            <family val="2"/>
          </rPr>
          <t xml:space="preserve"> point of fins attachment on the rocket.</t>
        </r>
      </text>
    </comment>
    <comment ref="B23" authorId="0" shapeId="0" xr:uid="{00000000-0006-0000-0000-000012000000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00000000-0006-0000-0000-00001300000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00000000-0006-0000-0000-000014000000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00000000-0006-0000-0000-000015000000}">
      <text>
        <r>
          <rPr>
            <sz val="8"/>
            <color indexed="8"/>
            <rFont val="Tahoma"/>
            <family val="2"/>
          </rPr>
          <t xml:space="preserve">La </t>
        </r>
        <r>
          <rPr>
            <b/>
            <sz val="8"/>
            <color indexed="8"/>
            <rFont val="Tahoma"/>
            <family val="2"/>
          </rPr>
          <t>Finesse</t>
        </r>
        <r>
          <rPr>
            <sz val="8"/>
            <color indexed="8"/>
            <rFont val="Tahoma"/>
            <family val="2"/>
          </rPr>
          <t xml:space="preserve"> représente l'allongement de la fusée, rapport Longueur/Diamètre.
</t>
        </r>
        <r>
          <rPr>
            <i/>
            <sz val="8"/>
            <color indexed="8"/>
            <rFont val="Tahoma"/>
            <family val="2"/>
          </rPr>
          <t>Finesse represents the relative length of the rocket. Finesse = L/D</t>
        </r>
      </text>
    </comment>
    <comment ref="B28" authorId="1" shapeId="0" xr:uid="{00000000-0006-0000-0000-000016000000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00000000-0006-0000-0000-000017000000}">
      <text>
        <r>
          <rPr>
            <sz val="8"/>
            <color indexed="8"/>
            <rFont val="Tahoma"/>
            <family val="2"/>
          </rPr>
          <t xml:space="preserve">Le gradient de </t>
        </r>
        <r>
          <rPr>
            <b/>
            <sz val="8"/>
            <color indexed="16"/>
            <rFont val="Tahoma"/>
            <family val="2"/>
          </rPr>
          <t>Portance</t>
        </r>
        <r>
          <rPr>
            <sz val="8"/>
            <color indexed="8"/>
            <rFont val="Tahoma"/>
            <family val="2"/>
          </rPr>
          <t xml:space="preserve"> Cnα indique l'efficacité des ailerons.
Pour l'augmenter, il faut augmenter la taille des ailerons, et inversement.
</t>
        </r>
        <r>
          <rPr>
            <i/>
            <sz val="8"/>
            <color indexed="16"/>
            <rFont val="Tahoma"/>
            <family val="2"/>
          </rPr>
          <t>Lift</t>
        </r>
        <r>
          <rPr>
            <i/>
            <sz val="8"/>
            <color indexed="8"/>
            <rFont val="Tahoma"/>
            <family val="2"/>
          </rPr>
          <t xml:space="preserve"> gradient, Cnα, represents the fins efficiency. 
To increase it, one must increase the size of the fins, and conversely.</t>
        </r>
      </text>
    </comment>
    <comment ref="B29" authorId="1" shapeId="0" xr:uid="{00000000-0006-0000-0000-000018000000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00000000-0006-0000-0000-000019000000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00000000-0006-0000-0000-00001A000000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00000000-0006-0000-0000-00001B000000}">
      <text>
        <r>
          <rPr>
            <sz val="8"/>
            <color indexed="8"/>
            <rFont val="Tahoma"/>
            <family val="2"/>
          </rPr>
          <t xml:space="preserve">Le </t>
        </r>
        <r>
          <rPr>
            <b/>
            <sz val="8"/>
            <color indexed="8"/>
            <rFont val="Tahoma"/>
            <family val="2"/>
          </rPr>
          <t>produit</t>
        </r>
        <r>
          <rPr>
            <sz val="8"/>
            <color indexed="8"/>
            <rFont val="Tahoma"/>
            <family val="2"/>
          </rPr>
          <t xml:space="preserve"> MS*Cnα représente le </t>
        </r>
        <r>
          <rPr>
            <b/>
            <sz val="8"/>
            <color indexed="8"/>
            <rFont val="Tahoma"/>
            <family val="2"/>
          </rPr>
          <t>couple</t>
        </r>
        <r>
          <rPr>
            <sz val="8"/>
            <color indexed="8"/>
            <rFont val="Tahoma"/>
            <family val="2"/>
          </rPr>
          <t xml:space="preserve"> de rappel de la Portance.
Pour augmenter le produit, il faut augmenter la MS et/ou le Cnα, et inversement.
</t>
        </r>
        <r>
          <rPr>
            <i/>
            <sz val="8"/>
            <color indexed="8"/>
            <rFont val="Tahoma"/>
            <family val="2"/>
          </rPr>
          <t>The product MS*Cnα represents the lift torque.
To increase it, one must increase the Static Margin and/or the Cnα, and conversely.</t>
        </r>
      </text>
    </comment>
    <comment ref="F31" authorId="0" shapeId="0" xr:uid="{00000000-0006-0000-0000-00001C000000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00000000-0006-0000-0000-00001D000000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00000000-0006-0000-0000-00001E00000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00000000-0006-0000-0000-00001F000000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00000000-0006-0000-0100-000001000000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00000000-0006-0000-0100-000002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00000000-0006-0000-0100-000003000000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00000000-0006-0000-0100-000004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00000000-0006-0000-0100-000005000000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00000000-0006-0000-0100-000006000000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00000000-0006-0000-0100-000007000000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00000000-0006-0000-0100-000008000000}">
      <text>
        <r>
          <rPr>
            <b/>
            <sz val="8"/>
            <color rgb="FF000000"/>
            <rFont val="Tahoma"/>
            <family val="2"/>
          </rPr>
          <t>Objet largué</t>
        </r>
        <r>
          <rPr>
            <sz val="8"/>
            <color rgb="FF000000"/>
            <rFont val="Tahoma"/>
            <family val="2"/>
          </rPr>
          <t xml:space="preserve"> (CanSat, quasi-satellite, partie contenant l'œuf...)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Separated object (CanSat, quasi-satellite, payload/egg...)</t>
        </r>
      </text>
    </comment>
    <comment ref="K23" authorId="1" shapeId="0" xr:uid="{00000000-0006-0000-0100-000009000000}">
      <text>
        <r>
          <rPr>
            <sz val="8"/>
            <color indexed="8"/>
            <rFont val="Tahoma"/>
            <family val="2"/>
          </rPr>
          <t xml:space="preserve">La Vitesse en Sortie de Rampe doit être supérieure à 18m/s (MiniFusée) ou 20m/s (Fusée Exp.).
Alléger la fusée ou choisir un propu plus puissant.
</t>
        </r>
        <r>
          <rPr>
            <i/>
            <sz val="8"/>
            <color indexed="8"/>
            <rFont val="Tahoma"/>
            <family val="2"/>
          </rPr>
          <t>Speed at Launch Pad Exit must by higher than 18m/s (mini-rocket) or 20m/s (experimental rocket).
Lighten the rocket or choose a bigger motor.</t>
        </r>
      </text>
    </comment>
    <comment ref="C24" authorId="2" shapeId="0" xr:uid="{00000000-0006-0000-0100-00000A000000}">
      <text>
        <r>
          <rPr>
            <sz val="8"/>
            <color indexed="8"/>
            <rFont val="Tahoma"/>
            <family val="2"/>
          </rPr>
          <t xml:space="preserve">Masse de la fusée (sans satellite) sous parachute.
</t>
        </r>
        <r>
          <rPr>
            <i/>
            <sz val="8"/>
            <color indexed="8"/>
            <rFont val="Tahoma"/>
            <family val="2"/>
          </rPr>
          <t>Mass of the rocket (w/o sat) when it fall with a parachute.</t>
        </r>
      </text>
    </comment>
    <comment ref="M27" authorId="3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Efforts sur les fixations du parachute lors de sont ouverture.
</t>
        </r>
        <r>
          <rPr>
            <i/>
            <sz val="8"/>
            <color indexed="81"/>
            <rFont val="Tahoma"/>
            <family val="2"/>
          </rPr>
          <t>Stress on the parachute's bindings when it opened.</t>
        </r>
      </text>
    </comment>
    <comment ref="B28" authorId="1" shapeId="0" xr:uid="{00000000-0006-0000-0100-00000C000000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00000000-0006-0000-0100-00000D000000}">
      <text>
        <r>
          <rPr>
            <sz val="8"/>
            <color indexed="81"/>
            <rFont val="Tahoma"/>
            <family val="2"/>
          </rPr>
          <t>Energie libérée lors de l'impact balistique.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Balistic impact energy</t>
        </r>
      </text>
    </comment>
    <comment ref="B30" authorId="4" shapeId="0" xr:uid="{00000000-0006-0000-0100-00000E000000}">
      <text>
        <r>
          <rPr>
            <sz val="8"/>
            <color indexed="81"/>
            <rFont val="Tahoma"/>
            <family val="2"/>
          </rPr>
          <t xml:space="preserve">La Vitesse de descente sous parachute doit être comprise entre 5 &amp; 15m/s.
</t>
        </r>
        <r>
          <rPr>
            <i/>
            <sz val="8"/>
            <color indexed="81"/>
            <rFont val="Tahoma"/>
            <family val="2"/>
          </rPr>
          <t>Fall Velocity with parachute must be between 5 &amp; 15 m/s.</t>
        </r>
      </text>
    </comment>
    <comment ref="B33" authorId="0" shapeId="0" xr:uid="{00000000-0006-0000-0100-00000F000000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00000000-0006-0000-0100-000010000000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0000000-0006-0000-0100-000011000000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00000000-0006-0000-0100-000012000000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00000000-0006-0000-0500-000001000000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00000000-0006-0000-0500-000002000000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00000000-0006-0000-0500-000003000000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00000000-0006-0000-0500-000004000000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00000000-0006-0000-0500-000005000000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<sst xmlns="http://schemas.openxmlformats.org/spreadsheetml/2006/main" count="1716" uniqueCount="560">
  <si>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</si>
  <si>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</si>
  <si>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</si>
  <si>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</si>
  <si>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</si>
  <si>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</si>
  <si>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</si>
  <si>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</si>
  <si>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</si>
  <si>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</si>
  <si>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</si>
  <si>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</si>
  <si>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</si>
  <si>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</si>
  <si>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</si>
  <si>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</si>
  <si>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</si>
  <si>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</si>
  <si>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</si>
  <si>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</si>
  <si>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</si>
  <si>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</si>
  <si>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</si>
  <si>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</si>
  <si>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</si>
  <si>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</si>
  <si>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</si>
  <si>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</si>
  <si>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</si>
  <si>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</si>
  <si>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</si>
  <si>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</si>
  <si>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</si>
  <si>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</si>
  <si>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</si>
  <si>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</si>
  <si>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</si>
  <si>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</si>
  <si>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</si>
  <si>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</si>
  <si>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</si>
  <si>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</si>
  <si>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</si>
  <si>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</si>
  <si>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</si>
  <si>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</si>
  <si>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</si>
  <si>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</si>
  <si>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</si>
  <si>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</si>
  <si>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</si>
  <si>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</si>
  <si>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</si>
  <si>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</si>
  <si>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</si>
  <si>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</si>
  <si>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</si>
  <si>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</si>
  <si>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</si>
  <si>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</si>
  <si>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</si>
  <si>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</si>
  <si>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</si>
  <si>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</si>
  <si>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</si>
  <si>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</si>
  <si>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</si>
  <si>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</si>
  <si>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</si>
  <si>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</si>
  <si>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</si>
  <si>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</si>
  <si>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</si>
  <si>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</si>
  <si>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</si>
  <si>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</si>
  <si>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</si>
  <si>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</si>
  <si>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</si>
  <si>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</si>
  <si>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</si>
  <si>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</si>
  <si>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</si>
  <si>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</si>
  <si>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</si>
  <si>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</si>
  <si>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</si>
  <si>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</si>
  <si>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</si>
  <si>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</si>
  <si>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</si>
  <si>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</si>
  <si>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</si>
  <si>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</si>
  <si>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</si>
  <si>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</si>
  <si>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</si>
  <si>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</si>
  <si>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</si>
  <si>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</si>
  <si>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</si>
  <si>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</si>
  <si>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</si>
  <si>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</si>
  <si>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</si>
  <si>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</si>
  <si>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</si>
  <si>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</si>
  <si>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</si>
  <si>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</si>
  <si>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</si>
  <si>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</si>
  <si>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</si>
  <si>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</si>
  <si>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</si>
  <si>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</si>
  <si>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</si>
  <si>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</si>
  <si>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</si>
  <si>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</si>
  <si>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</si>
  <si>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</si>
  <si>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</si>
  <si>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</si>
  <si>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</si>
  <si>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</si>
  <si>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</si>
  <si>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</si>
  <si>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</si>
  <si>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</si>
  <si>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</si>
  <si>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</si>
  <si>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</si>
  <si>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</si>
  <si>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</si>
  <si>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</si>
  <si>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</si>
  <si>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</si>
  <si>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</si>
  <si>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</si>
  <si>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</si>
  <si>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</si>
  <si>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</si>
  <si>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</si>
  <si>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</si>
  <si>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</si>
  <si>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</si>
  <si>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</si>
  <si>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</si>
  <si>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</si>
  <si>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</si>
  <si>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</si>
  <si>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</si>
  <si>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</si>
  <si>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</si>
  <si>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</si>
  <si>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</si>
  <si>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</si>
  <si>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</si>
  <si>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</si>
  <si>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conique</t>
  </si>
  <si>
    <t>ogive</t>
  </si>
  <si>
    <t>parabole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</si>
  <si>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</si>
  <si>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</si>
  <si>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</si>
  <si>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</si>
  <si>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</si>
  <si>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</si>
  <si>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</si>
  <si>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</si>
  <si>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</si>
  <si>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</si>
  <si>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</si>
  <si>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</si>
  <si>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</si>
  <si>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</si>
  <si>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</si>
  <si>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</si>
  <si>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</si>
  <si>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</si>
  <si>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</si>
  <si>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</si>
  <si>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</si>
  <si>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</si>
  <si>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</si>
  <si>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</si>
  <si>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</si>
  <si>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</si>
  <si>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</si>
  <si>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</si>
  <si>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</si>
  <si>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</si>
  <si>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</si>
  <si>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</si>
  <si>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</si>
  <si>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</si>
  <si>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</si>
  <si>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</si>
  <si>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</si>
  <si>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</si>
  <si>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</si>
  <si>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</si>
  <si>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</si>
  <si>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</si>
  <si>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</si>
  <si>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</si>
  <si>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</si>
  <si>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</si>
  <si>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</si>
  <si>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</si>
  <si>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</si>
  <si>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</si>
  <si>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</si>
  <si>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</si>
  <si>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</si>
  <si>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</si>
  <si>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</si>
  <si>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</si>
  <si>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</si>
  <si>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</si>
  <si>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</si>
  <si>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</si>
  <si>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</si>
  <si>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</si>
  <si>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</si>
  <si>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</si>
  <si>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</si>
  <si>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</si>
  <si>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</si>
  <si>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</si>
  <si>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</si>
  <si>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</si>
  <si>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</si>
  <si>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</si>
  <si>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</si>
  <si>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</si>
  <si>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</si>
  <si>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</si>
  <si>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</si>
  <si>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</si>
  <si>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</si>
  <si>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</si>
  <si>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</si>
  <si>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</si>
  <si>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</si>
  <si>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</si>
  <si>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</si>
  <si>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</si>
  <si>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</si>
  <si>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</si>
  <si>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</si>
  <si>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</si>
  <si>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</si>
  <si>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</si>
  <si>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</si>
  <si>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</si>
  <si>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</si>
  <si>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</si>
  <si>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</si>
  <si>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</si>
  <si>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</si>
  <si>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</si>
  <si>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</si>
  <si>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</si>
  <si>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</si>
  <si>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</si>
  <si>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</si>
  <si>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</si>
  <si>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</si>
  <si>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</si>
  <si>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</si>
  <si>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</si>
  <si>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</si>
  <si>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</si>
  <si>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</si>
  <si>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</si>
  <si>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</si>
  <si>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</si>
  <si>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</si>
  <si>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</si>
  <si>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</si>
  <si>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</si>
  <si>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</si>
  <si>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</si>
  <si>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</si>
  <si>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</si>
  <si>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</si>
  <si>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</si>
  <si>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</si>
  <si>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</si>
  <si>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</si>
  <si>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</si>
  <si>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</si>
  <si>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</si>
  <si>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</si>
  <si>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</si>
  <si>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</si>
  <si>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</si>
  <si>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</si>
  <si>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</si>
  <si>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</si>
  <si>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</si>
  <si>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</si>
  <si>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</si>
  <si>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</si>
  <si>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</si>
  <si>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</si>
  <si>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</si>
  <si>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</si>
  <si>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</si>
  <si>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</si>
  <si>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</si>
  <si>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</si>
  <si>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</si>
  <si>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</si>
  <si>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</si>
  <si>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</si>
  <si>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</si>
  <si>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</si>
  <si>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</si>
  <si>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</si>
  <si>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</si>
  <si>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</si>
  <si>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</si>
  <si>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</si>
  <si>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</si>
  <si>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</si>
  <si>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</si>
  <si>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</si>
  <si>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</si>
  <si>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</si>
  <si>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</si>
  <si>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</si>
  <si>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</si>
  <si>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</si>
  <si>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</si>
  <si>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</si>
  <si>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</si>
  <si>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</si>
  <si>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</si>
  <si>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</si>
  <si>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</si>
  <si>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</si>
  <si>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</si>
  <si>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</si>
  <si>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</si>
  <si>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</si>
  <si>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</si>
  <si>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</si>
  <si>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</si>
  <si>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</si>
  <si>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</si>
  <si>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</si>
  <si>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</si>
  <si>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</si>
  <si>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</si>
  <si>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</si>
  <si>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</si>
  <si>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</si>
  <si>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</si>
  <si>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</si>
  <si>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</si>
  <si>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</si>
  <si>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</si>
  <si>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</si>
  <si>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</si>
  <si>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</si>
  <si>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</si>
  <si>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</si>
  <si>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</si>
  <si>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</si>
  <si>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</si>
  <si>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</si>
  <si>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</si>
  <si>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</si>
  <si>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</si>
  <si>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</si>
  <si>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</si>
  <si>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</si>
  <si>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</si>
  <si>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</si>
  <si>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</si>
  <si>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</si>
  <si>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</si>
  <si>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</si>
  <si>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</si>
  <si>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</si>
  <si>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</si>
  <si>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</si>
  <si>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</si>
  <si>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</si>
  <si>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</si>
  <si>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</si>
  <si>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</si>
  <si>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</si>
  <si>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</si>
  <si>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</si>
  <si>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</si>
  <si>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</si>
  <si>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</si>
  <si>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</si>
  <si>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</si>
  <si>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</si>
  <si>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</si>
  <si>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</si>
  <si>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</si>
  <si>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</si>
  <si>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</si>
  <si>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</si>
  <si>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</si>
  <si>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</si>
  <si>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</si>
  <si>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</si>
  <si>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</si>
  <si>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</si>
  <si>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</si>
  <si>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</si>
  <si>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</si>
  <si>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</si>
  <si>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</si>
  <si>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</si>
  <si>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</si>
  <si>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</si>
  <si>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</si>
  <si>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</si>
  <si>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</si>
  <si>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</si>
  <si>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</si>
  <si>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</si>
  <si>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</si>
  <si>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</si>
  <si>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</si>
  <si>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</si>
  <si>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</si>
  <si>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</si>
  <si>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</si>
  <si>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</si>
  <si>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</si>
  <si>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</si>
  <si>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</si>
  <si>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</si>
  <si>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</si>
  <si>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</si>
  <si>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</si>
  <si>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</si>
  <si>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</si>
  <si>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</si>
  <si>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</si>
  <si>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</si>
  <si>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</si>
  <si>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</si>
  <si>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</si>
  <si>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</si>
  <si>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</si>
  <si>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</si>
  <si>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</si>
  <si>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</si>
  <si>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</si>
  <si>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</si>
  <si>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</si>
  <si>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</si>
  <si>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</si>
  <si>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</si>
  <si>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</si>
  <si>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</si>
  <si>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</si>
  <si>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</si>
  <si>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</si>
  <si>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</si>
  <si>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</si>
  <si>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</si>
  <si>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</si>
  <si>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</si>
  <si>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</si>
  <si>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</si>
  <si>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</si>
  <si>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</si>
  <si>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</si>
  <si>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</si>
  <si>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</si>
  <si>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</si>
  <si>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</si>
  <si>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</si>
  <si>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</si>
  <si>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</si>
  <si>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</si>
  <si>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</si>
  <si>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</si>
  <si>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</si>
  <si>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</si>
  <si>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</si>
  <si>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</si>
  <si>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</si>
  <si>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</si>
  <si>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</si>
  <si>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</si>
  <si>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</si>
  <si>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</si>
  <si>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</si>
  <si>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</si>
  <si>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</si>
  <si>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</si>
  <si>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</si>
  <si>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</si>
  <si>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</si>
  <si>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</si>
  <si>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</si>
  <si>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</si>
  <si>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</si>
  <si>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</si>
  <si>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</si>
  <si>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</si>
  <si>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</si>
  <si>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</si>
  <si>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</si>
  <si>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</si>
  <si>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</si>
  <si>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</si>
  <si>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</si>
  <si>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</si>
  <si>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</si>
  <si>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</si>
  <si>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</si>
  <si>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</si>
  <si>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</si>
  <si>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</si>
  <si>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</si>
  <si>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</si>
  <si>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</si>
  <si>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</si>
  <si>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</si>
  <si>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</si>
  <si>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</si>
  <si>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</si>
  <si>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</si>
  <si>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</si>
  <si>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</si>
  <si>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</si>
  <si>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</si>
  <si>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</si>
  <si>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</si>
  <si>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StabTraj V3.4.1</t>
  </si>
  <si>
    <t>Propu : +Klima D9</t>
  </si>
  <si>
    <t>v3.4.2</t>
  </si>
  <si>
    <t>p29-1G 56F31</t>
  </si>
  <si>
    <t xml:space="preserve"> 143G150 BS</t>
  </si>
  <si>
    <t>StabTraj V3.4.2</t>
  </si>
  <si>
    <t>Ajout propu</t>
  </si>
  <si>
    <t>Pandora (Pro24-6G BS)</t>
  </si>
  <si>
    <t>Barasinga (Pro54-5G C)</t>
  </si>
  <si>
    <t>Orignal (Pro75-3G C)</t>
  </si>
  <si>
    <t>Blastocerus (Pro98-6GXL RL)</t>
  </si>
  <si>
    <t>Minifusée</t>
  </si>
  <si>
    <t>rose</t>
  </si>
  <si>
    <t>gris/rouge</t>
  </si>
  <si>
    <t>Conique (droite)</t>
  </si>
  <si>
    <t>Fusée mono-diamètre,</t>
  </si>
  <si>
    <t>SP02-Beta</t>
  </si>
  <si>
    <t>l'Aeroipsa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</si>
</sst>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i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Tahoma"/>
      <family val="2"/>
    </font>
    <font>
      <i/>
      <sz val="8"/>
      <color indexed="12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8"/>
      <color rgb="FF000000"/>
      <name val="Tahoma"/>
      <family val="2"/>
    </font>
    <font>
      <b/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4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9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6" fillId="5" borderId="2" xfId="2" applyNumberFormat="1" applyFont="1" applyFill="1" applyBorder="1" applyAlignment="1">
      <alignment horizontal="center"/>
    </xf>
    <xf numFmtId="181" fontId="26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6" fillId="5" borderId="2" xfId="2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6" fillId="6" borderId="2" xfId="2" applyFont="1" applyFill="1" applyBorder="1" applyAlignment="1">
      <alignment horizontal="center"/>
    </xf>
    <xf numFmtId="0" fontId="31" fillId="0" borderId="0" xfId="2" applyFont="1"/>
    <xf numFmtId="0" fontId="31" fillId="6" borderId="2" xfId="2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 applyProtection="1">
      <alignment horizontal="center"/>
      <protection hidden="1"/>
    </xf>
    <xf numFmtId="0" fontId="31" fillId="5" borderId="2" xfId="2" applyFont="1" applyFill="1" applyBorder="1" applyAlignment="1">
      <alignment horizontal="center"/>
    </xf>
    <xf numFmtId="177" fontId="31" fillId="5" borderId="2" xfId="2" applyNumberFormat="1" applyFont="1" applyFill="1" applyBorder="1" applyAlignment="1" applyProtection="1">
      <alignment horizontal="center"/>
      <protection hidden="1"/>
    </xf>
    <xf numFmtId="176" fontId="31" fillId="5" borderId="2" xfId="2" applyNumberFormat="1" applyFont="1" applyFill="1" applyBorder="1" applyAlignment="1">
      <alignment horizontal="center"/>
    </xf>
    <xf numFmtId="178" fontId="31" fillId="5" borderId="2" xfId="2" applyNumberFormat="1" applyFont="1" applyFill="1" applyBorder="1" applyAlignment="1" applyProtection="1">
      <alignment horizontal="center"/>
      <protection hidden="1"/>
    </xf>
    <xf numFmtId="0" fontId="31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8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2" fillId="6" borderId="2" xfId="2" applyFont="1" applyFill="1" applyBorder="1" applyAlignment="1" applyProtection="1">
      <alignment horizontal="center"/>
      <protection hidden="1"/>
    </xf>
    <xf numFmtId="178" fontId="32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4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8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7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8" fillId="0" borderId="13" xfId="0" applyFont="1" applyBorder="1" applyAlignment="1">
      <alignment horizontal="right" vertical="center"/>
    </xf>
    <xf numFmtId="0" fontId="28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44" fillId="0" borderId="0" xfId="2" applyFont="1"/>
    <xf numFmtId="0" fontId="44" fillId="27" borderId="2" xfId="2" applyFont="1" applyFill="1" applyBorder="1" applyAlignment="1" applyProtection="1">
      <alignment horizontal="center"/>
      <protection hidden="1"/>
    </xf>
    <xf numFmtId="177" fontId="45" fillId="5" borderId="2" xfId="2" applyNumberFormat="1" applyFont="1" applyFill="1" applyBorder="1" applyAlignment="1" applyProtection="1">
      <alignment horizontal="center"/>
      <protection hidden="1"/>
    </xf>
    <xf numFmtId="0" fontId="43" fillId="0" borderId="0" xfId="2" applyFont="1"/>
    <xf numFmtId="0" fontId="46" fillId="0" borderId="10" xfId="2" applyFont="1" applyBorder="1" applyAlignment="1">
      <alignment horizontal="right"/>
    </xf>
    <xf numFmtId="0" fontId="44" fillId="0" borderId="10" xfId="2" applyFont="1" applyBorder="1"/>
    <xf numFmtId="0" fontId="47" fillId="0" borderId="10" xfId="2" applyFont="1" applyBorder="1" applyAlignment="1">
      <alignment horizontal="left"/>
    </xf>
    <xf numFmtId="0" fontId="46" fillId="0" borderId="10" xfId="2" applyFont="1" applyBorder="1"/>
    <xf numFmtId="0" fontId="46" fillId="0" borderId="7" xfId="0" applyFont="1" applyBorder="1" applyAlignment="1">
      <alignment horizontal="right" vertical="center"/>
    </xf>
    <xf numFmtId="0" fontId="47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1" fillId="5" borderId="24" xfId="2" applyNumberFormat="1" applyFont="1" applyFill="1" applyBorder="1" applyAlignment="1" applyProtection="1">
      <alignment horizontal="center"/>
      <protection hidden="1"/>
    </xf>
    <xf numFmtId="176" fontId="31" fillId="5" borderId="26" xfId="2" applyNumberFormat="1" applyFont="1" applyFill="1" applyBorder="1" applyAlignment="1" applyProtection="1">
      <alignment horizontal="center"/>
      <protection hidden="1"/>
    </xf>
    <xf numFmtId="176" fontId="31" fillId="5" borderId="25" xfId="2" applyNumberFormat="1" applyFont="1" applyFill="1" applyBorder="1" applyAlignment="1" applyProtection="1">
      <alignment horizontal="center"/>
      <protection hidden="1"/>
    </xf>
    <xf numFmtId="0" fontId="31" fillId="5" borderId="63" xfId="2" applyFont="1" applyFill="1" applyBorder="1" applyAlignment="1">
      <alignment horizontal="center"/>
    </xf>
    <xf numFmtId="0" fontId="31" fillId="5" borderId="20" xfId="2" applyFont="1" applyFill="1" applyBorder="1" applyAlignment="1">
      <alignment horizontal="center"/>
    </xf>
    <xf numFmtId="0" fontId="31" fillId="5" borderId="23" xfId="2" applyFont="1" applyFill="1" applyBorder="1" applyAlignment="1">
      <alignment horizontal="center"/>
    </xf>
    <xf numFmtId="176" fontId="31" fillId="5" borderId="63" xfId="2" applyNumberFormat="1" applyFont="1" applyFill="1" applyBorder="1" applyAlignment="1">
      <alignment horizontal="center"/>
    </xf>
    <xf numFmtId="196" fontId="31" fillId="5" borderId="63" xfId="2" applyNumberFormat="1" applyFont="1" applyFill="1" applyBorder="1" applyAlignment="1">
      <alignment horizontal="center"/>
    </xf>
    <xf numFmtId="196" fontId="31" fillId="5" borderId="20" xfId="2" applyNumberFormat="1" applyFont="1" applyFill="1" applyBorder="1" applyAlignment="1">
      <alignment horizontal="center"/>
    </xf>
    <xf numFmtId="196" fontId="31" fillId="5" borderId="23" xfId="2" applyNumberFormat="1" applyFont="1" applyFill="1" applyBorder="1" applyAlignment="1">
      <alignment horizontal="center"/>
    </xf>
    <xf numFmtId="174" fontId="31" fillId="5" borderId="63" xfId="2" applyNumberFormat="1" applyFont="1" applyFill="1" applyBorder="1" applyAlignment="1">
      <alignment horizontal="center"/>
    </xf>
    <xf numFmtId="174" fontId="31" fillId="5" borderId="20" xfId="2" applyNumberFormat="1" applyFont="1" applyFill="1" applyBorder="1" applyAlignment="1">
      <alignment horizontal="center"/>
    </xf>
    <xf numFmtId="174" fontId="31" fillId="5" borderId="23" xfId="2" applyNumberFormat="1" applyFont="1" applyFill="1" applyBorder="1" applyAlignment="1">
      <alignment horizontal="center"/>
    </xf>
    <xf numFmtId="167" fontId="31" fillId="5" borderId="63" xfId="2" applyNumberFormat="1" applyFont="1" applyFill="1" applyBorder="1" applyAlignment="1">
      <alignment horizontal="center"/>
    </xf>
    <xf numFmtId="167" fontId="31" fillId="5" borderId="20" xfId="2" applyNumberFormat="1" applyFont="1" applyFill="1" applyBorder="1" applyAlignment="1">
      <alignment horizontal="center"/>
    </xf>
    <xf numFmtId="167" fontId="31" fillId="5" borderId="23" xfId="2" applyNumberFormat="1" applyFont="1" applyFill="1" applyBorder="1" applyAlignment="1">
      <alignment horizontal="center"/>
    </xf>
    <xf numFmtId="170" fontId="31" fillId="5" borderId="63" xfId="2" applyNumberFormat="1" applyFont="1" applyFill="1" applyBorder="1" applyAlignment="1">
      <alignment horizontal="center"/>
    </xf>
    <xf numFmtId="170" fontId="31" fillId="5" borderId="20" xfId="2" applyNumberFormat="1" applyFont="1" applyFill="1" applyBorder="1" applyAlignment="1">
      <alignment horizontal="center"/>
    </xf>
    <xf numFmtId="170" fontId="31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1" fillId="5" borderId="24" xfId="2" applyNumberFormat="1" applyFont="1" applyFill="1" applyBorder="1" applyAlignment="1">
      <alignment horizontal="center"/>
    </xf>
    <xf numFmtId="197" fontId="31" fillId="5" borderId="26" xfId="2" applyNumberFormat="1" applyFont="1" applyFill="1" applyBorder="1" applyAlignment="1">
      <alignment horizontal="center"/>
    </xf>
    <xf numFmtId="197" fontId="31" fillId="5" borderId="25" xfId="2" applyNumberFormat="1" applyFont="1" applyFill="1" applyBorder="1" applyAlignment="1">
      <alignment horizontal="center"/>
    </xf>
    <xf numFmtId="0" fontId="43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4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41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40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4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8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30" fillId="5" borderId="24" xfId="2" applyNumberFormat="1" applyFont="1" applyFill="1" applyBorder="1" applyAlignment="1" applyProtection="1">
      <alignment horizontal="center" vertical="center"/>
      <protection hidden="1"/>
    </xf>
    <xf numFmtId="0" fontId="30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1" fillId="5" borderId="34" xfId="2" applyNumberFormat="1" applyFont="1" applyFill="1" applyBorder="1" applyAlignment="1" applyProtection="1">
      <alignment horizontal="center"/>
      <protection hidden="1"/>
    </xf>
    <xf numFmtId="177" fontId="31" fillId="5" borderId="14" xfId="2" applyNumberFormat="1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 applyProtection="1">
      <alignment horizontal="center"/>
      <protection hidden="1"/>
    </xf>
    <xf numFmtId="176" fontId="31" fillId="5" borderId="14" xfId="2" applyNumberFormat="1" applyFont="1" applyFill="1" applyBorder="1" applyAlignment="1" applyProtection="1">
      <alignment horizontal="center"/>
      <protection hidden="1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0" fontId="15" fillId="0" borderId="0" xfId="2" applyFont="1" applyAlignment="1" applyProtection="1">
      <alignment horizontal="center"/>
      <protection hidden="1"/>
    </xf>
    <xf numFmtId="0" fontId="28" fillId="6" borderId="34" xfId="2" applyFont="1" applyFill="1" applyBorder="1" applyAlignment="1" applyProtection="1">
      <alignment horizontal="center"/>
      <protection hidden="1"/>
    </xf>
    <xf numFmtId="0" fontId="28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31" fillId="6" borderId="2" xfId="2" applyFont="1" applyFill="1" applyBorder="1" applyAlignment="1">
      <alignment horizontal="center"/>
    </xf>
    <xf numFmtId="165" fontId="31" fillId="5" borderId="2" xfId="2" applyNumberFormat="1" applyFont="1" applyFill="1" applyBorder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82" xfId="2" applyNumberFormat="1" applyFont="1" applyFill="1" applyBorder="1" applyAlignment="1" applyProtection="1">
      <alignment horizontal="center"/>
      <protection locked="0"/>
    </xf>
    <xf numFmtId="0" fontId="43" fillId="0" borderId="83" xfId="2" applyFont="1" applyBorder="1" applyAlignment="1">
      <alignment horizontal="center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84" xfId="2" applyFont="1" applyFill="1" applyBorder="1" applyAlignment="1" applyProtection="1">
      <alignment horizont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82" xfId="2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6" fontId="31" fillId="5" borderId="34" xfId="2" applyNumberFormat="1" applyFont="1" applyFill="1" applyBorder="1" applyAlignment="1">
      <alignment horizontal="center"/>
    </xf>
    <xf numFmtId="176" fontId="31" fillId="5" borderId="14" xfId="2" applyNumberFormat="1" applyFont="1" applyFill="1" applyBorder="1" applyAlignment="1">
      <alignment horizontal="center"/>
    </xf>
    <xf numFmtId="178" fontId="32" fillId="5" borderId="34" xfId="2" applyNumberFormat="1" applyFont="1" applyFill="1" applyBorder="1" applyAlignment="1">
      <alignment horizontal="center"/>
    </xf>
    <xf numFmtId="178" fontId="32" fillId="5" borderId="14" xfId="2" applyNumberFormat="1" applyFont="1" applyFill="1" applyBorder="1" applyAlignment="1">
      <alignment horizontal="center"/>
    </xf>
    <xf numFmtId="0" fontId="31" fillId="6" borderId="34" xfId="2" applyFont="1" applyFill="1" applyBorder="1" applyAlignment="1">
      <alignment horizontal="center"/>
    </xf>
    <xf numFmtId="0" fontId="31" fillId="6" borderId="14" xfId="2" applyFont="1" applyFill="1" applyBorder="1" applyAlignment="1">
      <alignment horizontal="center"/>
    </xf>
    <xf numFmtId="0" fontId="43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75" xfId="2" applyFont="1" applyFill="1" applyBorder="1" applyAlignment="1" applyProtection="1">
      <alignment horizontal="center"/>
      <protection hidden="1"/>
    </xf>
    <xf numFmtId="0" fontId="2" fillId="10" borderId="76" xfId="2" applyFont="1" applyFill="1" applyBorder="1" applyAlignment="1" applyProtection="1">
      <alignment horizontal="center"/>
      <protection hidden="1"/>
    </xf>
    <xf numFmtId="0" fontId="43" fillId="4" borderId="25" xfId="2" applyFont="1" applyFill="1" applyBorder="1" applyAlignment="1" applyProtection="1">
      <alignment horizontal="center"/>
      <protection locked="0"/>
    </xf>
    <xf numFmtId="0" fontId="43" fillId="4" borderId="77" xfId="2" applyFont="1" applyFill="1" applyBorder="1" applyAlignment="1" applyProtection="1">
      <alignment horizontal="center"/>
      <protection locked="0"/>
    </xf>
    <xf numFmtId="165" fontId="31" fillId="5" borderId="34" xfId="2" applyNumberFormat="1" applyFont="1" applyFill="1" applyBorder="1" applyAlignment="1">
      <alignment horizontal="center"/>
    </xf>
    <xf numFmtId="165" fontId="31" fillId="5" borderId="14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33" fillId="4" borderId="25" xfId="2" applyFont="1" applyFill="1" applyBorder="1" applyAlignment="1" applyProtection="1">
      <alignment horizontal="center" vertical="center"/>
      <protection locked="0"/>
    </xf>
    <xf numFmtId="0" fontId="33" fillId="4" borderId="2" xfId="2" applyFont="1" applyFill="1" applyBorder="1" applyAlignment="1" applyProtection="1">
      <alignment horizontal="center" vertical="center"/>
      <protection locked="0"/>
    </xf>
    <xf numFmtId="0" fontId="3" fillId="20" borderId="0" xfId="0" applyFont="1" applyFill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0" fontId="33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98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93" xfId="0" applyFont="1" applyFill="1" applyBorder="1" applyAlignment="1" applyProtection="1">
      <alignment horizontal="center"/>
      <protection hidden="1"/>
    </xf>
    <xf numFmtId="0" fontId="11" fillId="8" borderId="94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95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11" fillId="8" borderId="96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9" fillId="8" borderId="97" xfId="0" applyFont="1" applyFill="1" applyBorder="1" applyAlignment="1" applyProtection="1">
      <alignment horizontal="center" vertical="center"/>
      <protection hidden="1"/>
    </xf>
    <xf numFmtId="0" fontId="39" fillId="8" borderId="89" xfId="0" applyFont="1" applyFill="1" applyBorder="1" applyAlignment="1" applyProtection="1">
      <alignment horizontal="center" vertical="center"/>
      <protection hidden="1"/>
    </xf>
    <xf numFmtId="0" fontId="2" fillId="13" borderId="90" xfId="0" applyFont="1" applyFill="1" applyBorder="1" applyAlignment="1" applyProtection="1">
      <alignment horizontal="center" vertical="center"/>
      <protection locked="0"/>
    </xf>
    <xf numFmtId="0" fontId="2" fillId="13" borderId="91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2" xfId="0" applyFont="1" applyFill="1" applyBorder="1" applyAlignment="1">
      <alignment horizontal="center"/>
    </xf>
    <xf numFmtId="0" fontId="2" fillId="13" borderId="91" xfId="0" applyFont="1" applyFill="1" applyBorder="1" applyAlignment="1">
      <alignment horizontal="center"/>
    </xf>
    <xf numFmtId="166" fontId="2" fillId="17" borderId="46" xfId="0" applyNumberFormat="1" applyFont="1" applyFill="1" applyBorder="1" applyAlignment="1">
      <alignment horizontal="center" vertical="center"/>
    </xf>
    <xf numFmtId="0" fontId="39" fillId="8" borderId="85" xfId="0" applyFont="1" applyFill="1" applyBorder="1" applyAlignment="1" applyProtection="1">
      <alignment horizontal="center" vertical="center"/>
      <protection hidden="1"/>
    </xf>
    <xf numFmtId="0" fontId="39" fillId="8" borderId="86" xfId="0" applyFont="1" applyFill="1" applyBorder="1" applyAlignment="1" applyProtection="1">
      <alignment horizontal="center" vertical="center"/>
      <protection hidden="1"/>
    </xf>
    <xf numFmtId="0" fontId="2" fillId="8" borderId="87" xfId="0" applyFont="1" applyFill="1" applyBorder="1" applyAlignment="1" applyProtection="1">
      <alignment horizontal="center" vertical="center"/>
      <protection hidden="1"/>
    </xf>
    <xf numFmtId="0" fontId="39" fillId="8" borderId="88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00000000-0005-0000-0000-000002000000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1" defaultTableStyle="TableStyleMedium2" defaultPivotStyle="PivotStyleLight16">
    <tableStyle name="Invisible" pivot="0" table="0" count="0" xr9:uid="{F4726A1C-5962-4C6D-A156-DDCD1FCD6B5E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185232743879301E-2"/>
          <c:y val="6.1378198400092628E-2"/>
          <c:w val="0.84871001627006748"/>
          <c:h val="0.90566037735849303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-957</c:v>
                </c:pt>
                <c:pt idx="7">
                  <c:v>-957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F59-84CA-EEBAEE08982C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42</c:v>
                </c:pt>
                <c:pt idx="1">
                  <c:v>172</c:v>
                </c:pt>
                <c:pt idx="2">
                  <c:v>172</c:v>
                </c:pt>
                <c:pt idx="3">
                  <c:v>42</c:v>
                </c:pt>
                <c:pt idx="4">
                  <c:v>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-767</c:v>
                </c:pt>
                <c:pt idx="1">
                  <c:v>-947</c:v>
                </c:pt>
                <c:pt idx="2">
                  <c:v>-1027</c:v>
                </c:pt>
                <c:pt idx="3">
                  <c:v>-957</c:v>
                </c:pt>
                <c:pt idx="4">
                  <c:v>-767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5-4F59-84CA-EEBAEE08982C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-275</c:v>
                </c:pt>
                <c:pt idx="3">
                  <c:v>-275</c:v>
                </c:pt>
                <c:pt idx="4">
                  <c:v>-275</c:v>
                </c:pt>
                <c:pt idx="5">
                  <c:v>-275</c:v>
                </c:pt>
                <c:pt idx="6">
                  <c:v>-957</c:v>
                </c:pt>
                <c:pt idx="7">
                  <c:v>-957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5-4F59-84CA-EEBAEE08982C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-42</c:v>
                </c:pt>
                <c:pt idx="1">
                  <c:v>-172</c:v>
                </c:pt>
                <c:pt idx="2">
                  <c:v>-172</c:v>
                </c:pt>
                <c:pt idx="3">
                  <c:v>-42</c:v>
                </c:pt>
                <c:pt idx="4">
                  <c:v>-42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-767</c:v>
                </c:pt>
                <c:pt idx="1">
                  <c:v>-947</c:v>
                </c:pt>
                <c:pt idx="2">
                  <c:v>-1027</c:v>
                </c:pt>
                <c:pt idx="3">
                  <c:v>-957</c:v>
                </c:pt>
                <c:pt idx="4">
                  <c:v>-767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5-4F59-84CA-EEBAEE08982C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-625.73294263132436</c:v>
                </c:pt>
                <c:pt idx="1">
                  <c:v>-618.64591156195706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35-4F59-84CA-EEBAEE08982C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86.237651224253341</c:v>
                </c:pt>
                <c:pt idx="2">
                  <c:v>86.237651224253341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-789.86509891988771</c:v>
                </c:pt>
                <c:pt idx="1">
                  <c:v>-789.86509891988771</c:v>
                </c:pt>
                <c:pt idx="2">
                  <c:v>-789.86509891988771</c:v>
                </c:pt>
                <c:pt idx="3">
                  <c:v>-789.86509891988771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5-4F59-84CA-EEBAEE08982C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35-4F59-84CA-EEBAEE08982C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35-4F59-84CA-EEBAEE08982C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35-4F59-84CA-EEBAEE08982C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35-4F59-84CA-EEBAEE08982C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319</c:v>
                </c:pt>
                <c:pt idx="1">
                  <c:v>-319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-1037.27</c:v>
                </c:pt>
                <c:pt idx="1">
                  <c:v>-1037.27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35-4F59-84CA-EEBAEE08982C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-12</c:v>
                </c:pt>
                <c:pt idx="1">
                  <c:v>12</c:v>
                </c:pt>
                <c:pt idx="2">
                  <c:v>12</c:v>
                </c:pt>
                <c:pt idx="3">
                  <c:v>-12</c:v>
                </c:pt>
                <c:pt idx="4">
                  <c:v>-12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-679</c:v>
                </c:pt>
                <c:pt idx="1">
                  <c:v>-679</c:v>
                </c:pt>
                <c:pt idx="2">
                  <c:v>-907</c:v>
                </c:pt>
                <c:pt idx="3">
                  <c:v>-907</c:v>
                </c:pt>
                <c:pt idx="4">
                  <c:v>-679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35-4F59-84CA-EEBAEE08982C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35-4F59-84CA-EEBAEE08982C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535-4F59-84CA-EEBAEE08982C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-172</c:v>
                </c:pt>
                <c:pt idx="1">
                  <c:v>-107</c:v>
                </c:pt>
                <c:pt idx="2">
                  <c:v>-42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-1058.9000000000001</c:v>
                </c:pt>
                <c:pt idx="1">
                  <c:v>-1058.9000000000001</c:v>
                </c:pt>
                <c:pt idx="2">
                  <c:v>-1058.9000000000001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535-4F59-84CA-EEBAEE08982C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-203.9</c:v>
                </c:pt>
                <c:pt idx="1">
                  <c:v>-203.9</c:v>
                </c:pt>
                <c:pt idx="2">
                  <c:v>-203.9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-767</c:v>
                </c:pt>
                <c:pt idx="1">
                  <c:v>-857</c:v>
                </c:pt>
                <c:pt idx="2">
                  <c:v>-947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535-4F59-84CA-EEBAEE08982C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-219.85</c:v>
                </c:pt>
                <c:pt idx="1">
                  <c:v>-219.85</c:v>
                </c:pt>
                <c:pt idx="2">
                  <c:v>-219.85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-947</c:v>
                </c:pt>
                <c:pt idx="1">
                  <c:v>-987</c:v>
                </c:pt>
                <c:pt idx="2">
                  <c:v>-1027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35-4F59-84CA-EEBAEE08982C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219.85</c:v>
                </c:pt>
                <c:pt idx="1">
                  <c:v>219.85</c:v>
                </c:pt>
                <c:pt idx="2">
                  <c:v>219.85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-767</c:v>
                </c:pt>
                <c:pt idx="1">
                  <c:v>-862</c:v>
                </c:pt>
                <c:pt idx="2">
                  <c:v>-957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35-4F59-84CA-EEBAEE08982C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535-4F59-84CA-EEBAEE08982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-219.85</c:v>
                </c:pt>
                <c:pt idx="1">
                  <c:v>-219.85</c:v>
                </c:pt>
                <c:pt idx="2">
                  <c:v>-219.85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-622.18942709664066</c:v>
                </c:pt>
                <c:pt idx="1">
                  <c:v>-706.02726300826419</c:v>
                </c:pt>
                <c:pt idx="2">
                  <c:v>-789.86509891988771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35-4F59-84CA-EEBAEE08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7200"/>
        <c:axId val="148708736"/>
      </c:scatterChart>
      <c:valAx>
        <c:axId val="148707200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8736"/>
        <c:crosses val="max"/>
        <c:crossBetween val="midCat"/>
      </c:valAx>
      <c:valAx>
        <c:axId val="148708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7072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448.41131178464059</c:v>
                </c:pt>
                <c:pt idx="1">
                  <c:v>219.31949850659859</c:v>
                </c:pt>
                <c:pt idx="2">
                  <c:v>123.28730481665201</c:v>
                </c:pt>
                <c:pt idx="3">
                  <c:v>81.253357713050519</c:v>
                </c:pt>
                <c:pt idx="4">
                  <c:v>58.131427216622413</c:v>
                </c:pt>
                <c:pt idx="5">
                  <c:v>43.576469097649607</c:v>
                </c:pt>
                <c:pt idx="6">
                  <c:v>33.590616940255693</c:v>
                </c:pt>
                <c:pt idx="7">
                  <c:v>26.320715538836847</c:v>
                </c:pt>
                <c:pt idx="8">
                  <c:v>20.793971904665256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71B-B048-B774D8756BF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227.07794870527417</c:v>
                </c:pt>
                <c:pt idx="1">
                  <c:v>175.74625524925037</c:v>
                </c:pt>
                <c:pt idx="2">
                  <c:v>113.77132180172762</c:v>
                </c:pt>
                <c:pt idx="3">
                  <c:v>78.206156319282385</c:v>
                </c:pt>
                <c:pt idx="4">
                  <c:v>56.907789390207881</c:v>
                </c:pt>
                <c:pt idx="5">
                  <c:v>43.01269832161956</c:v>
                </c:pt>
                <c:pt idx="6">
                  <c:v>33.307183391383916</c:v>
                </c:pt>
                <c:pt idx="7">
                  <c:v>26.17002173074545</c:v>
                </c:pt>
                <c:pt idx="8">
                  <c:v>20.711074201607286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5-471B-B048-B774D8756BF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151.39764383342606</c:v>
                </c:pt>
                <c:pt idx="1">
                  <c:v>136.16541440734821</c:v>
                </c:pt>
                <c:pt idx="2">
                  <c:v>101.30480698412866</c:v>
                </c:pt>
                <c:pt idx="3">
                  <c:v>73.694443217625505</c:v>
                </c:pt>
                <c:pt idx="4">
                  <c:v>55.000213995852377</c:v>
                </c:pt>
                <c:pt idx="5">
                  <c:v>42.110999403825268</c:v>
                </c:pt>
                <c:pt idx="6">
                  <c:v>32.847337545900793</c:v>
                </c:pt>
                <c:pt idx="7">
                  <c:v>25.923414711210871</c:v>
                </c:pt>
                <c:pt idx="8">
                  <c:v>20.574659990521745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5-471B-B048-B774D875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904"/>
        <c:axId val="193469824"/>
      </c:scatterChart>
      <c:valAx>
        <c:axId val="193467904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9824"/>
        <c:crosses val="autoZero"/>
        <c:crossBetween val="midCat"/>
      </c:valAx>
      <c:valAx>
        <c:axId val="193469824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46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706733829172051"/>
          <c:w val="0.20833333333333343"/>
          <c:h val="0.24711352766816386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63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1210.8572728794215</c:v>
                </c:pt>
                <c:pt idx="1">
                  <c:v>1318.2839251490834</c:v>
                </c:pt>
                <c:pt idx="2">
                  <c:v>739.64326015311735</c:v>
                </c:pt>
                <c:pt idx="3">
                  <c:v>392.83017649043666</c:v>
                </c:pt>
                <c:pt idx="4">
                  <c:v>225.16921772122538</c:v>
                </c:pt>
                <c:pt idx="5">
                  <c:v>139.04533349953397</c:v>
                </c:pt>
                <c:pt idx="6">
                  <c:v>90.725612707378531</c:v>
                </c:pt>
                <c:pt idx="7">
                  <c:v>61.518320722826616</c:v>
                </c:pt>
                <c:pt idx="8">
                  <c:v>42.798879312398071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3-4D65-B3FC-606C75B7CC88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530.02138773946626</c:v>
                </c:pt>
                <c:pt idx="1">
                  <c:v>624.18893482893043</c:v>
                </c:pt>
                <c:pt idx="2">
                  <c:v>488.44557992256671</c:v>
                </c:pt>
                <c:pt idx="3">
                  <c:v>322.56714236592347</c:v>
                </c:pt>
                <c:pt idx="4">
                  <c:v>204.97708480417108</c:v>
                </c:pt>
                <c:pt idx="5">
                  <c:v>132.608284452335</c:v>
                </c:pt>
                <c:pt idx="6">
                  <c:v>88.452220923835199</c:v>
                </c:pt>
                <c:pt idx="7">
                  <c:v>60.647286193396937</c:v>
                </c:pt>
                <c:pt idx="8">
                  <c:v>42.444965843106978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73-4D65-B3FC-606C75B7CC88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336.49747119030712</c:v>
                </c:pt>
                <c:pt idx="1">
                  <c:v>385.5705658314871</c:v>
                </c:pt>
                <c:pt idx="2">
                  <c:v>340.21237182543439</c:v>
                </c:pt>
                <c:pt idx="3">
                  <c:v>257.65920936902984</c:v>
                </c:pt>
                <c:pt idx="4">
                  <c:v>180.53447215836667</c:v>
                </c:pt>
                <c:pt idx="5">
                  <c:v>123.60283156513358</c:v>
                </c:pt>
                <c:pt idx="6">
                  <c:v>85.020169091151189</c:v>
                </c:pt>
                <c:pt idx="7">
                  <c:v>59.277151055434658</c:v>
                </c:pt>
                <c:pt idx="8">
                  <c:v>41.875267777179332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73-4D65-B3FC-606C75B7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2576"/>
        <c:axId val="193514496"/>
      </c:scatterChart>
      <c:valAx>
        <c:axId val="1935125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29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4496"/>
        <c:crosses val="autoZero"/>
        <c:crossBetween val="midCat"/>
      </c:valAx>
      <c:valAx>
        <c:axId val="193514496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351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944466316710431"/>
          <c:y val="0.18396263556678061"/>
          <c:w val="0.20833333333333343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9"/>
          <c:y val="3.2407517456544362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8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42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9.3519095904628387</c:v>
                </c:pt>
                <c:pt idx="1">
                  <c:v>15.177543609145443</c:v>
                </c:pt>
                <c:pt idx="2">
                  <c:v>12.781956257832844</c:v>
                </c:pt>
                <c:pt idx="3">
                  <c:v>9.8605369881558964</c:v>
                </c:pt>
                <c:pt idx="4">
                  <c:v>7.801156583206498</c:v>
                </c:pt>
                <c:pt idx="5">
                  <c:v>6.3987803446641749</c:v>
                </c:pt>
                <c:pt idx="6">
                  <c:v>5.40735334773197</c:v>
                </c:pt>
                <c:pt idx="7">
                  <c:v>4.6760747037306913</c:v>
                </c:pt>
                <c:pt idx="8">
                  <c:v>4.1166448945086884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4D16-B659-8F15E40A2BDD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84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5.679416221399558</c:v>
                </c:pt>
                <c:pt idx="1">
                  <c:v>9.65804811509852</c:v>
                </c:pt>
                <c:pt idx="2">
                  <c:v>9.9175886616169606</c:v>
                </c:pt>
                <c:pt idx="3">
                  <c:v>8.7491377236185919</c:v>
                </c:pt>
                <c:pt idx="4">
                  <c:v>7.3774651522734489</c:v>
                </c:pt>
                <c:pt idx="5">
                  <c:v>6.2260702899736193</c:v>
                </c:pt>
                <c:pt idx="6">
                  <c:v>5.3314790789975213</c:v>
                </c:pt>
                <c:pt idx="7">
                  <c:v>4.6406378548186566</c:v>
                </c:pt>
                <c:pt idx="8">
                  <c:v>4.0993509388685148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E-4D16-B659-8F15E40A2BDD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126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0.15989999999999999</c:v>
                </c:pt>
                <c:pt idx="1">
                  <c:v>0.58489999999999998</c:v>
                </c:pt>
                <c:pt idx="2">
                  <c:v>1.0099</c:v>
                </c:pt>
                <c:pt idx="3">
                  <c:v>1.4348999999999998</c:v>
                </c:pt>
                <c:pt idx="4">
                  <c:v>1.8598999999999999</c:v>
                </c:pt>
                <c:pt idx="5">
                  <c:v>2.2848999999999999</c:v>
                </c:pt>
                <c:pt idx="6">
                  <c:v>2.7098999999999998</c:v>
                </c:pt>
                <c:pt idx="7">
                  <c:v>3.1349</c:v>
                </c:pt>
                <c:pt idx="8">
                  <c:v>3.5598999999999998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4.452958837153532</c:v>
                </c:pt>
                <c:pt idx="1">
                  <c:v>7.2853505984419407</c:v>
                </c:pt>
                <c:pt idx="2">
                  <c:v>8.0030287355453087</c:v>
                </c:pt>
                <c:pt idx="3">
                  <c:v>7.6566144673221563</c:v>
                </c:pt>
                <c:pt idx="4">
                  <c:v>6.8484851635635815</c:v>
                </c:pt>
                <c:pt idx="5">
                  <c:v>5.980611074045223</c:v>
                </c:pt>
                <c:pt idx="6">
                  <c:v>5.2159880378179366</c:v>
                </c:pt>
                <c:pt idx="7">
                  <c:v>4.5846533324657628</c:v>
                </c:pt>
                <c:pt idx="8">
                  <c:v>4.0714499640035751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E-4D16-B659-8F15E40A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78976"/>
        <c:axId val="195680896"/>
      </c:scatterChart>
      <c:valAx>
        <c:axId val="19567897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34"/>
              <c:y val="0.8092359976229385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80896"/>
        <c:crosses val="autoZero"/>
        <c:crossBetween val="midCat"/>
      </c:valAx>
      <c:valAx>
        <c:axId val="195680896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5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56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57744916031841"/>
          <c:y val="0.18396263556678061"/>
          <c:w val="0.20325203252032525"/>
          <c:h val="0.2523588619818750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7"/>
          <c:y val="8.02141732283464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75E-2"/>
          <c:w val="0.93899204244031864"/>
          <c:h val="0.82887916965859743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2B-4801-8589-0A76F8F3832F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2B-4801-8589-0A76F8F3832F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2B-4801-8589-0A76F8F3832F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2B-4801-8589-0A76F8F3832F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4.2857142857142856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2B-4801-8589-0A76F8F3832F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2B-4801-8589-0A76F8F3832F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2B-4801-8589-0A76F8F3832F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4.4444444444444446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2B-4801-8589-0A76F8F3832F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2B-4801-8589-0A76F8F3832F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3.75</c:v>
                </c:pt>
                <c:pt idx="1">
                  <c:v>3.75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26.666666666666668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1.953954241530516</c:v>
                </c:pt>
                <c:pt idx="1">
                  <c:v>1.953954241530516</c:v>
                </c:pt>
                <c:pt idx="2">
                  <c:v>2.0383236590229838</c:v>
                </c:pt>
                <c:pt idx="3">
                  <c:v>2.0383236590229838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15.399580575759524</c:v>
                </c:pt>
                <c:pt idx="1">
                  <c:v>15.399580575759524</c:v>
                </c:pt>
                <c:pt idx="2">
                  <c:v>15.399580575759524</c:v>
                </c:pt>
                <c:pt idx="3">
                  <c:v>15.399580575759524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2B-4801-8589-0A76F8F3832F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2.0383236590229838</c:v>
                </c:pt>
                <c:pt idx="1">
                  <c:v>1.953954241530516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15.399580575759524</c:v>
                </c:pt>
                <c:pt idx="1">
                  <c:v>15.399580575759524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2B-4801-8589-0A76F8F3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168"/>
        <c:axId val="148481536"/>
      </c:scatterChart>
      <c:valAx>
        <c:axId val="148471168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9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81536"/>
        <c:crosses val="autoZero"/>
        <c:crossBetween val="midCat"/>
      </c:valAx>
      <c:valAx>
        <c:axId val="148481536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97E-2"/>
              <c:y val="0.2409990551181102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471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87"/>
          <c:y val="3.857574406972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2971.9988762080079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2971.9988762080079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2-4CA2-BA56-E0E46E48A26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257.20804585986002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288.10640699152822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317.07567436121542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343.07669116374575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366.83781773361466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388.87694530549624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409.57293796783631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429.21393652531498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448.02647327411603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466.19370579263233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483.86680907848671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501.17101294567385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518.20509633727534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535.03002179112571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551.65101684994772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568.02144427951953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584.06890225848338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599.7151225858712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614.88559094849393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629.51421287035487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643.54569494600628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656.93662345613961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669.65566411186444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681.68313002219793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693.01010281631261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703.63726142278279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713.57354901866518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722.83478456875241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731.44230088082179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739.42166765438776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746.80153709275805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753.61263224769323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759.88688472873787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765.65671859998781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770.95447075561776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775.81193421079058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780.26000893748198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784.32844453620601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788.04565967571909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791.43862446743719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794.53279348203432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797.35207876029847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799.91885378532572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802.25398088744657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804.37685590365118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806.30546509258909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808.05645031425388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809.6451793302748</c:v>
                </c:pt>
                <c:pt idx="654">
                  <c:v>809.6451793302748</c:v>
                </c:pt>
                <c:pt idx="655">
                  <c:v>809.6451793302748</c:v>
                </c:pt>
                <c:pt idx="656">
                  <c:v>809.6451793302748</c:v>
                </c:pt>
                <c:pt idx="657">
                  <c:v>809.6451793302748</c:v>
                </c:pt>
                <c:pt idx="658">
                  <c:v>809.6451793302748</c:v>
                </c:pt>
                <c:pt idx="659">
                  <c:v>809.6451793302748</c:v>
                </c:pt>
                <c:pt idx="660">
                  <c:v>809.6451793302748</c:v>
                </c:pt>
                <c:pt idx="661">
                  <c:v>809.6451793302748</c:v>
                </c:pt>
                <c:pt idx="662">
                  <c:v>809.6451793302748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2970.9971417443212</c:v>
                </c:pt>
                <c:pt idx="304">
                  <c:v>2971.3953145678793</c:v>
                </c:pt>
                <c:pt idx="305">
                  <c:v>2971.6949141362215</c:v>
                </c:pt>
                <c:pt idx="306">
                  <c:v>2971.8960620863168</c:v>
                </c:pt>
                <c:pt idx="307">
                  <c:v>2971.9988762080079</c:v>
                </c:pt>
                <c:pt idx="308">
                  <c:v>2972.0034715528336</c:v>
                </c:pt>
                <c:pt idx="309">
                  <c:v>2971.9099615737468</c:v>
                </c:pt>
                <c:pt idx="310">
                  <c:v>2971.7184592785279</c:v>
                </c:pt>
                <c:pt idx="311">
                  <c:v>2971.4290783782367</c:v>
                </c:pt>
                <c:pt idx="312">
                  <c:v>2971.0419344118513</c:v>
                </c:pt>
                <c:pt idx="313">
                  <c:v>2970.5571458293653</c:v>
                </c:pt>
                <c:pt idx="314">
                  <c:v>2969.9748350178547</c:v>
                </c:pt>
                <c:pt idx="315">
                  <c:v>2969.2951292581247</c:v>
                </c:pt>
                <c:pt idx="316">
                  <c:v>2968.5181616030791</c:v>
                </c:pt>
                <c:pt idx="317">
                  <c:v>2967.6440716725583</c:v>
                </c:pt>
                <c:pt idx="318">
                  <c:v>2966.6730063627283</c:v>
                </c:pt>
                <c:pt idx="319">
                  <c:v>2965.6051204709306</c:v>
                </c:pt>
                <c:pt idx="320">
                  <c:v>2964.4405772391428</c:v>
                </c:pt>
                <c:pt idx="321">
                  <c:v>2963.1795488207717</c:v>
                </c:pt>
                <c:pt idx="322">
                  <c:v>2961.8222166765058</c:v>
                </c:pt>
                <c:pt idx="323">
                  <c:v>2960.3687719054647</c:v>
                </c:pt>
                <c:pt idx="324">
                  <c:v>2958.8194155179826</c:v>
                </c:pt>
                <c:pt idx="325">
                  <c:v>2957.1743586562143</c:v>
                </c:pt>
                <c:pt idx="326">
                  <c:v>2955.4338227683847</c:v>
                </c:pt>
                <c:pt idx="327">
                  <c:v>2953.5980397420494</c:v>
                </c:pt>
                <c:pt idx="328">
                  <c:v>2951.667252001208</c:v>
                </c:pt>
                <c:pt idx="329">
                  <c:v>2949.6417125715961</c:v>
                </c:pt>
                <c:pt idx="330">
                  <c:v>2947.5216851179648</c:v>
                </c:pt>
                <c:pt idx="331">
                  <c:v>2945.3074439566803</c:v>
                </c:pt>
                <c:pt idx="332">
                  <c:v>2942.9992740465523</c:v>
                </c:pt>
                <c:pt idx="333">
                  <c:v>2940.5974709604016</c:v>
                </c:pt>
                <c:pt idx="334">
                  <c:v>2938.1023408395531</c:v>
                </c:pt>
                <c:pt idx="335">
                  <c:v>2935.5142003331289</c:v>
                </c:pt>
                <c:pt idx="336">
                  <c:v>2932.8333765237721</c:v>
                </c:pt>
                <c:pt idx="337">
                  <c:v>2930.060206841214</c:v>
                </c:pt>
                <c:pt idx="338">
                  <c:v>2927.1950389648991</c:v>
                </c:pt>
                <c:pt idx="339">
                  <c:v>2924.2382307167386</c:v>
                </c:pt>
                <c:pt idx="340">
                  <c:v>2921.1901499449173</c:v>
                </c:pt>
                <c:pt idx="341">
                  <c:v>2918.0511743995671</c:v>
                </c:pt>
                <c:pt idx="342">
                  <c:v>2914.8216916010301</c:v>
                </c:pt>
                <c:pt idx="343">
                  <c:v>2911.5020987013381</c:v>
                </c:pt>
                <c:pt idx="344">
                  <c:v>2908.0928023394836</c:v>
                </c:pt>
                <c:pt idx="345">
                  <c:v>2904.5942184909845</c:v>
                </c:pt>
                <c:pt idx="346">
                  <c:v>2901.006772312202</c:v>
                </c:pt>
                <c:pt idx="347">
                  <c:v>2897.3308979798253</c:v>
                </c:pt>
                <c:pt idx="348">
                  <c:v>2893.5670385259045</c:v>
                </c:pt>
                <c:pt idx="349">
                  <c:v>2889.7156456687803</c:v>
                </c:pt>
                <c:pt idx="350">
                  <c:v>2885.7771796402303</c:v>
                </c:pt>
                <c:pt idx="351">
                  <c:v>2881.7521090091359</c:v>
                </c:pt>
                <c:pt idx="352">
                  <c:v>2877.6409105019447</c:v>
                </c:pt>
                <c:pt idx="353">
                  <c:v>2873.444068820198</c:v>
                </c:pt>
                <c:pt idx="354">
                  <c:v>2869.1620764553677</c:v>
                </c:pt>
                <c:pt idx="355">
                  <c:v>2864.7954335012432</c:v>
                </c:pt>
                <c:pt idx="356">
                  <c:v>2860.3446474640909</c:v>
                </c:pt>
                <c:pt idx="357">
                  <c:v>2855.8102330708007</c:v>
                </c:pt>
                <c:pt idx="358">
                  <c:v>2851.1927120752316</c:v>
                </c:pt>
                <c:pt idx="359">
                  <c:v>2846.4926130629501</c:v>
                </c:pt>
                <c:pt idx="360">
                  <c:v>2841.7104712545547</c:v>
                </c:pt>
                <c:pt idx="361">
                  <c:v>2836.8468283077732</c:v>
                </c:pt>
                <c:pt idx="362">
                  <c:v>2831.9022321185121</c:v>
                </c:pt>
                <c:pt idx="363">
                  <c:v>2826.8772366210314</c:v>
                </c:pt>
                <c:pt idx="364">
                  <c:v>2821.7724015874146</c:v>
                </c:pt>
                <c:pt idx="365">
                  <c:v>2816.5882924264952</c:v>
                </c:pt>
                <c:pt idx="366">
                  <c:v>2811.3254799824058</c:v>
                </c:pt>
                <c:pt idx="367">
                  <c:v>2805.9845403328986</c:v>
                </c:pt>
                <c:pt idx="368">
                  <c:v>2800.5660545875908</c:v>
                </c:pt>
                <c:pt idx="369">
                  <c:v>2795.0706086862824</c:v>
                </c:pt>
                <c:pt idx="370">
                  <c:v>2789.4987931974902</c:v>
                </c:pt>
                <c:pt idx="371">
                  <c:v>2783.8512031173332</c:v>
                </c:pt>
                <c:pt idx="372">
                  <c:v>2778.1284376689096</c:v>
                </c:pt>
                <c:pt idx="373">
                  <c:v>2772.3311001022935</c:v>
                </c:pt>
                <c:pt idx="374">
                  <c:v>2766.4597974952812</c:v>
                </c:pt>
                <c:pt idx="375">
                  <c:v>2760.5151405550087</c:v>
                </c:pt>
                <c:pt idx="376">
                  <c:v>2754.4977434205643</c:v>
                </c:pt>
                <c:pt idx="377">
                  <c:v>2748.4082234667085</c:v>
                </c:pt>
                <c:pt idx="378">
                  <c:v>2742.2472011088189</c:v>
                </c:pt>
                <c:pt idx="379">
                  <c:v>2736.0152996091647</c:v>
                </c:pt>
                <c:pt idx="380">
                  <c:v>2729.7131448846221</c:v>
                </c:pt>
                <c:pt idx="381">
                  <c:v>2723.3413653159255</c:v>
                </c:pt>
                <c:pt idx="382">
                  <c:v>2716.9005915585594</c:v>
                </c:pt>
                <c:pt idx="383">
                  <c:v>2710.3914563553831</c:v>
                </c:pt>
                <c:pt idx="384">
                  <c:v>2703.8145943510767</c:v>
                </c:pt>
                <c:pt idx="385">
                  <c:v>2697.1706419085017</c:v>
                </c:pt>
                <c:pt idx="386">
                  <c:v>2690.4602369270528</c:v>
                </c:pt>
                <c:pt idx="387">
                  <c:v>2683.6840186630884</c:v>
                </c:pt>
                <c:pt idx="388">
                  <c:v>2676.8426275525094</c:v>
                </c:pt>
                <c:pt idx="389">
                  <c:v>2669.936705035565</c:v>
                </c:pt>
                <c:pt idx="390">
                  <c:v>2662.9668933839516</c:v>
                </c:pt>
                <c:pt idx="391">
                  <c:v>2655.9338355302707</c:v>
                </c:pt>
                <c:pt idx="392">
                  <c:v>2648.83817489991</c:v>
                </c:pt>
                <c:pt idx="393">
                  <c:v>2641.6805552454057</c:v>
                </c:pt>
                <c:pt idx="394">
                  <c:v>2634.4616204833383</c:v>
                </c:pt>
                <c:pt idx="395">
                  <c:v>2627.1820145338206</c:v>
                </c:pt>
                <c:pt idx="396">
                  <c:v>2619.8423811626185</c:v>
                </c:pt>
                <c:pt idx="397">
                  <c:v>2612.4433638259557</c:v>
                </c:pt>
                <c:pt idx="398">
                  <c:v>2604.9856055180412</c:v>
                </c:pt>
                <c:pt idx="399">
                  <c:v>2597.4697486213586</c:v>
                </c:pt>
                <c:pt idx="400">
                  <c:v>2589.8964347597544</c:v>
                </c:pt>
                <c:pt idx="401">
                  <c:v>2582.266304654353</c:v>
                </c:pt>
                <c:pt idx="402">
                  <c:v>2574.5799979823332</c:v>
                </c:pt>
                <c:pt idx="403">
                  <c:v>2566.8381532385865</c:v>
                </c:pt>
                <c:pt idx="404">
                  <c:v>2559.0414076002853</c:v>
                </c:pt>
                <c:pt idx="405">
                  <c:v>2551.1903967943772</c:v>
                </c:pt>
                <c:pt idx="406">
                  <c:v>2543.285754968023</c:v>
                </c:pt>
                <c:pt idx="407">
                  <c:v>2535.3281145619962</c:v>
                </c:pt>
                <c:pt idx="408">
                  <c:v>2527.31810618705</c:v>
                </c:pt>
                <c:pt idx="409">
                  <c:v>2519.2563585032653</c:v>
                </c:pt>
                <c:pt idx="410">
                  <c:v>2511.1434981023826</c:v>
                </c:pt>
                <c:pt idx="411">
                  <c:v>2502.9801493931245</c:v>
                </c:pt>
                <c:pt idx="412">
                  <c:v>2494.7669344895066</c:v>
                </c:pt>
                <c:pt idx="413">
                  <c:v>2486.5044731021389</c:v>
                </c:pt>
                <c:pt idx="414">
                  <c:v>2478.1933824325101</c:v>
                </c:pt>
                <c:pt idx="415">
                  <c:v>2469.8342770702548</c:v>
                </c:pt>
                <c:pt idx="416">
                  <c:v>2461.4277688933871</c:v>
                </c:pt>
                <c:pt idx="417">
                  <c:v>2452.9744669714996</c:v>
                </c:pt>
                <c:pt idx="418">
                  <c:v>2444.4749774719089</c:v>
                </c:pt>
                <c:pt idx="419">
                  <c:v>2435.9299035687359</c:v>
                </c:pt>
                <c:pt idx="420">
                  <c:v>2427.339845354903</c:v>
                </c:pt>
                <c:pt idx="421">
                  <c:v>2418.7053997570342</c:v>
                </c:pt>
                <c:pt idx="422">
                  <c:v>2410.027160453234</c:v>
                </c:pt>
                <c:pt idx="423">
                  <c:v>2401.3057177937258</c:v>
                </c:pt>
                <c:pt idx="424">
                  <c:v>2392.5416587243244</c:v>
                </c:pt>
                <c:pt idx="425">
                  <c:v>2383.735566712724</c:v>
                </c:pt>
                <c:pt idx="426">
                  <c:v>2374.8880216775669</c:v>
                </c:pt>
                <c:pt idx="427">
                  <c:v>2365.9995999202733</c:v>
                </c:pt>
                <c:pt idx="428">
                  <c:v>2357.0708740595987</c:v>
                </c:pt>
                <c:pt idx="429">
                  <c:v>2348.1024129688894</c:v>
                </c:pt>
                <c:pt idx="430">
                  <c:v>2339.0947817160086</c:v>
                </c:pt>
                <c:pt idx="431">
                  <c:v>2330.0485415058952</c:v>
                </c:pt>
                <c:pt idx="432">
                  <c:v>2320.9642496257256</c:v>
                </c:pt>
                <c:pt idx="433">
                  <c:v>2311.8424593926438</c:v>
                </c:pt>
                <c:pt idx="434">
                  <c:v>2302.6837201040221</c:v>
                </c:pt>
                <c:pt idx="435">
                  <c:v>2293.4885769902194</c:v>
                </c:pt>
                <c:pt idx="436">
                  <c:v>2284.2575711697991</c:v>
                </c:pt>
                <c:pt idx="437">
                  <c:v>2274.9912396071663</c:v>
                </c:pt>
                <c:pt idx="438">
                  <c:v>2265.6901150725907</c:v>
                </c:pt>
                <c:pt idx="439">
                  <c:v>2256.3547261045719</c:v>
                </c:pt>
                <c:pt idx="440">
                  <c:v>2246.9855969745108</c:v>
                </c:pt>
                <c:pt idx="441">
                  <c:v>2237.5832476536439</c:v>
                </c:pt>
                <c:pt idx="442">
                  <c:v>2228.1481937822023</c:v>
                </c:pt>
                <c:pt idx="443">
                  <c:v>2218.6809466407562</c:v>
                </c:pt>
                <c:pt idx="444">
                  <c:v>2209.1820131236977</c:v>
                </c:pt>
                <c:pt idx="445">
                  <c:v>2199.6518957148264</c:v>
                </c:pt>
                <c:pt idx="446">
                  <c:v>2190.0910924649934</c:v>
                </c:pt>
                <c:pt idx="447">
                  <c:v>2180.5000969717616</c:v>
                </c:pt>
                <c:pt idx="448">
                  <c:v>2170.8793983610421</c:v>
                </c:pt>
                <c:pt idx="449">
                  <c:v>2161.2294812706609</c:v>
                </c:pt>
                <c:pt idx="450">
                  <c:v>2151.5508258358168</c:v>
                </c:pt>
                <c:pt idx="451">
                  <c:v>2141.8439076763875</c:v>
                </c:pt>
                <c:pt idx="452">
                  <c:v>2132.1091978860409</c:v>
                </c:pt>
                <c:pt idx="453">
                  <c:v>2122.3471630231102</c:v>
                </c:pt>
                <c:pt idx="454">
                  <c:v>2112.5582651031882</c:v>
                </c:pt>
                <c:pt idx="455">
                  <c:v>2102.7429615934029</c:v>
                </c:pt>
                <c:pt idx="456">
                  <c:v>2092.9017054083292</c:v>
                </c:pt>
                <c:pt idx="457">
                  <c:v>2083.0349449074961</c:v>
                </c:pt>
                <c:pt idx="458">
                  <c:v>2073.1431238944479</c:v>
                </c:pt>
                <c:pt idx="459">
                  <c:v>2063.2266816173169</c:v>
                </c:pt>
                <c:pt idx="460">
                  <c:v>2053.2860527708708</c:v>
                </c:pt>
                <c:pt idx="461">
                  <c:v>2043.3216674999878</c:v>
                </c:pt>
                <c:pt idx="462">
                  <c:v>2033.333951404524</c:v>
                </c:pt>
                <c:pt idx="463">
                  <c:v>2023.3233255455307</c:v>
                </c:pt>
                <c:pt idx="464">
                  <c:v>2013.2902064527837</c:v>
                </c:pt>
                <c:pt idx="465">
                  <c:v>2003.2350061335831</c:v>
                </c:pt>
                <c:pt idx="466">
                  <c:v>1993.1581320827861</c:v>
                </c:pt>
                <c:pt idx="467">
                  <c:v>1983.0599872940354</c:v>
                </c:pt>
                <c:pt idx="468">
                  <c:v>1972.9409702721423</c:v>
                </c:pt>
                <c:pt idx="469">
                  <c:v>1962.8014750465898</c:v>
                </c:pt>
                <c:pt idx="470">
                  <c:v>1952.6418911861169</c:v>
                </c:pt>
                <c:pt idx="471">
                  <c:v>1942.4626038143494</c:v>
                </c:pt>
                <c:pt idx="472">
                  <c:v>1932.2639936264379</c:v>
                </c:pt>
                <c:pt idx="473">
                  <c:v>1922.0464369066713</c:v>
                </c:pt>
                <c:pt idx="474">
                  <c:v>1911.8103055470281</c:v>
                </c:pt>
                <c:pt idx="475">
                  <c:v>1901.5559670666319</c:v>
                </c:pt>
                <c:pt idx="476">
                  <c:v>1891.2837846320772</c:v>
                </c:pt>
                <c:pt idx="477">
                  <c:v>1880.9941170785924</c:v>
                </c:pt>
                <c:pt idx="478">
                  <c:v>1870.6873189320063</c:v>
                </c:pt>
                <c:pt idx="479">
                  <c:v>1860.3637404314861</c:v>
                </c:pt>
                <c:pt idx="480">
                  <c:v>1850.0237275530167</c:v>
                </c:pt>
                <c:pt idx="481">
                  <c:v>1839.6676220335864</c:v>
                </c:pt>
                <c:pt idx="482">
                  <c:v>1829.2957613960546</c:v>
                </c:pt>
                <c:pt idx="483">
                  <c:v>1818.9084789746635</c:v>
                </c:pt>
                <c:pt idx="484">
                  <c:v>1808.5061039411728</c:v>
                </c:pt>
                <c:pt idx="485">
                  <c:v>1798.0889613315821</c:v>
                </c:pt>
                <c:pt idx="486">
                  <c:v>1787.6573720734157</c:v>
                </c:pt>
                <c:pt idx="487">
                  <c:v>1777.2116530135418</c:v>
                </c:pt>
                <c:pt idx="488">
                  <c:v>1766.7521169464999</c:v>
                </c:pt>
                <c:pt idx="489">
                  <c:v>1756.2790726433072</c:v>
                </c:pt>
                <c:pt idx="490">
                  <c:v>1745.7928248807218</c:v>
                </c:pt>
                <c:pt idx="491">
                  <c:v>1735.2936744709336</c:v>
                </c:pt>
                <c:pt idx="492">
                  <c:v>1724.7819182916617</c:v>
                </c:pt>
                <c:pt idx="493">
                  <c:v>1714.2578493166316</c:v>
                </c:pt>
                <c:pt idx="494">
                  <c:v>1703.7217566464099</c:v>
                </c:pt>
                <c:pt idx="495">
                  <c:v>1693.1739255395732</c:v>
                </c:pt>
                <c:pt idx="496">
                  <c:v>1682.6146374441892</c:v>
                </c:pt>
                <c:pt idx="497">
                  <c:v>1672.0441700295855</c:v>
                </c:pt>
                <c:pt idx="498">
                  <c:v>1661.4627972183907</c:v>
                </c:pt>
                <c:pt idx="499">
                  <c:v>1650.8707892188197</c:v>
                </c:pt>
                <c:pt idx="500">
                  <c:v>1640.2684125571884</c:v>
                </c:pt>
                <c:pt idx="501">
                  <c:v>1629.6559301106361</c:v>
                </c:pt>
                <c:pt idx="502">
                  <c:v>1619.0336011400361</c:v>
                </c:pt>
                <c:pt idx="503">
                  <c:v>1608.4016813230771</c:v>
                </c:pt>
                <c:pt idx="504">
                  <c:v>1597.7604227874958</c:v>
                </c:pt>
                <c:pt idx="505">
                  <c:v>1587.110074144445</c:v>
                </c:pt>
                <c:pt idx="506">
                  <c:v>1576.450880521978</c:v>
                </c:pt>
                <c:pt idx="507">
                  <c:v>1565.7830835986347</c:v>
                </c:pt>
                <c:pt idx="508">
                  <c:v>1555.106921637112</c:v>
                </c:pt>
                <c:pt idx="509">
                  <c:v>1544.4226295180031</c:v>
                </c:pt>
                <c:pt idx="510">
                  <c:v>1533.7304387735917</c:v>
                </c:pt>
                <c:pt idx="511">
                  <c:v>1523.0305776216844</c:v>
                </c:pt>
                <c:pt idx="512">
                  <c:v>1512.3232709994697</c:v>
                </c:pt>
                <c:pt idx="513">
                  <c:v>1501.6087405973876</c:v>
                </c:pt>
                <c:pt idx="514">
                  <c:v>1490.8872048929979</c:v>
                </c:pt>
                <c:pt idx="515">
                  <c:v>1480.1588791848339</c:v>
                </c:pt>
                <c:pt idx="516">
                  <c:v>1469.4239756262286</c:v>
                </c:pt>
                <c:pt idx="517">
                  <c:v>1458.6827032591034</c:v>
                </c:pt>
                <c:pt idx="518">
                  <c:v>1447.9352680477048</c:v>
                </c:pt>
                <c:pt idx="519">
                  <c:v>1437.1818729122808</c:v>
                </c:pt>
                <c:pt idx="520">
                  <c:v>1426.4227177626844</c:v>
                </c:pt>
                <c:pt idx="521">
                  <c:v>1415.6579995318946</c:v>
                </c:pt>
                <c:pt idx="522">
                  <c:v>1404.8879122094447</c:v>
                </c:pt>
                <c:pt idx="523">
                  <c:v>1394.1126468747489</c:v>
                </c:pt>
                <c:pt idx="524">
                  <c:v>1383.3323917303173</c:v>
                </c:pt>
                <c:pt idx="525">
                  <c:v>1372.5473321348506</c:v>
                </c:pt>
                <c:pt idx="526">
                  <c:v>1361.7576506362068</c:v>
                </c:pt>
                <c:pt idx="527">
                  <c:v>1350.9635270042299</c:v>
                </c:pt>
                <c:pt idx="528">
                  <c:v>1340.1651382634357</c:v>
                </c:pt>
                <c:pt idx="529">
                  <c:v>1329.3626587255433</c:v>
                </c:pt>
                <c:pt idx="530">
                  <c:v>1318.5562600218504</c:v>
                </c:pt>
                <c:pt idx="531">
                  <c:v>1307.7461111354398</c:v>
                </c:pt>
                <c:pt idx="532">
                  <c:v>1296.9323784332148</c:v>
                </c:pt>
                <c:pt idx="533">
                  <c:v>1286.1152256977555</c:v>
                </c:pt>
                <c:pt idx="534">
                  <c:v>1275.2948141589904</c:v>
                </c:pt>
                <c:pt idx="535">
                  <c:v>1264.4713025256781</c:v>
                </c:pt>
                <c:pt idx="536">
                  <c:v>1253.6448470166922</c:v>
                </c:pt>
                <c:pt idx="537">
                  <c:v>1242.8156013921071</c:v>
                </c:pt>
                <c:pt idx="538">
                  <c:v>1231.9837169840762</c:v>
                </c:pt>
                <c:pt idx="539">
                  <c:v>1221.149342727502</c:v>
                </c:pt>
                <c:pt idx="540">
                  <c:v>1210.3126251904898</c:v>
                </c:pt>
                <c:pt idx="541">
                  <c:v>1199.4737086045841</c:v>
                </c:pt>
                <c:pt idx="542">
                  <c:v>1188.6327348947823</c:v>
                </c:pt>
                <c:pt idx="543">
                  <c:v>1177.789843709322</c:v>
                </c:pt>
                <c:pt idx="544">
                  <c:v>1166.9451724492392</c:v>
                </c:pt>
                <c:pt idx="545">
                  <c:v>1156.0988562976936</c:v>
                </c:pt>
                <c:pt idx="546">
                  <c:v>1145.2510282490591</c:v>
                </c:pt>
                <c:pt idx="547">
                  <c:v>1134.4018191377752</c:v>
                </c:pt>
                <c:pt idx="548">
                  <c:v>1123.551357666958</c:v>
                </c:pt>
                <c:pt idx="549">
                  <c:v>1112.6997704367675</c:v>
                </c:pt>
                <c:pt idx="550">
                  <c:v>1101.8471819725303</c:v>
                </c:pt>
                <c:pt idx="551">
                  <c:v>1090.9937147526141</c:v>
                </c:pt>
                <c:pt idx="552">
                  <c:v>1080.139489236054</c:v>
                </c:pt>
                <c:pt idx="553">
                  <c:v>1069.2846238899267</c:v>
                </c:pt>
                <c:pt idx="554">
                  <c:v>1058.4292352164734</c:v>
                </c:pt>
                <c:pt idx="555">
                  <c:v>1047.5734377799686</c:v>
                </c:pt>
                <c:pt idx="556">
                  <c:v>1036.7173442333335</c:v>
                </c:pt>
                <c:pt idx="557">
                  <c:v>1025.8610653444955</c:v>
                </c:pt>
                <c:pt idx="558">
                  <c:v>1015.0047100224884</c:v>
                </c:pt>
                <c:pt idx="559">
                  <c:v>1004.1483853432974</c:v>
                </c:pt>
                <c:pt idx="560">
                  <c:v>993.29219657544411</c:v>
                </c:pt>
                <c:pt idx="561">
                  <c:v>982.43624720531466</c:v>
                </c:pt>
                <c:pt idx="562">
                  <c:v>971.58063896222779</c:v>
                </c:pt>
                <c:pt idx="563">
                  <c:v>960.72547184324446</c:v>
                </c:pt>
                <c:pt idx="564">
                  <c:v>949.870844137718</c:v>
                </c:pt>
                <c:pt idx="565">
                  <c:v>939.01685245158467</c:v>
                </c:pt>
                <c:pt idx="566">
                  <c:v>928.16359173139597</c:v>
                </c:pt>
                <c:pt idx="567">
                  <c:v>917.31115528809096</c:v>
                </c:pt>
                <c:pt idx="568">
                  <c:v>906.45963482051093</c:v>
                </c:pt>
                <c:pt idx="569">
                  <c:v>895.60912043865505</c:v>
                </c:pt>
                <c:pt idx="570">
                  <c:v>884.75970068667903</c:v>
                </c:pt>
                <c:pt idx="571">
                  <c:v>873.91146256563616</c:v>
                </c:pt>
                <c:pt idx="572">
                  <c:v>863.06449155596192</c:v>
                </c:pt>
                <c:pt idx="573">
                  <c:v>852.21887163970325</c:v>
                </c:pt>
                <c:pt idx="574">
                  <c:v>841.37468532249261</c:v>
                </c:pt>
                <c:pt idx="575">
                  <c:v>830.53201365526809</c:v>
                </c:pt>
                <c:pt idx="576">
                  <c:v>819.69093625574067</c:v>
                </c:pt>
                <c:pt idx="577">
                  <c:v>808.85153132960943</c:v>
                </c:pt>
                <c:pt idx="578">
                  <c:v>798.01387569152598</c:v>
                </c:pt>
                <c:pt idx="579">
                  <c:v>787.17804478580922</c:v>
                </c:pt>
                <c:pt idx="580">
                  <c:v>776.34411270691146</c:v>
                </c:pt>
                <c:pt idx="581">
                  <c:v>765.51215221963764</c:v>
                </c:pt>
                <c:pt idx="582">
                  <c:v>754.68223477911852</c:v>
                </c:pt>
                <c:pt idx="583">
                  <c:v>743.85443055053975</c:v>
                </c:pt>
                <c:pt idx="584">
                  <c:v>733.02880842862749</c:v>
                </c:pt>
                <c:pt idx="585">
                  <c:v>722.20543605689295</c:v>
                </c:pt>
                <c:pt idx="586">
                  <c:v>711.38437984663665</c:v>
                </c:pt>
                <c:pt idx="587">
                  <c:v>700.56570499571444</c:v>
                </c:pt>
                <c:pt idx="588">
                  <c:v>689.74947550706679</c:v>
                </c:pt>
                <c:pt idx="589">
                  <c:v>678.93575420701268</c:v>
                </c:pt>
                <c:pt idx="590">
                  <c:v>668.12460276331035</c:v>
                </c:pt>
                <c:pt idx="591">
                  <c:v>657.31608170298568</c:v>
                </c:pt>
                <c:pt idx="592">
                  <c:v>646.51025042993138</c:v>
                </c:pt>
                <c:pt idx="593">
                  <c:v>635.70716724227748</c:v>
                </c:pt>
                <c:pt idx="594">
                  <c:v>624.90688934953516</c:v>
                </c:pt>
                <c:pt idx="595">
                  <c:v>614.10947288951638</c:v>
                </c:pt>
                <c:pt idx="596">
                  <c:v>603.31497294503072</c:v>
                </c:pt>
                <c:pt idx="597">
                  <c:v>592.52344356036087</c:v>
                </c:pt>
                <c:pt idx="598">
                  <c:v>581.73493775751945</c:v>
                </c:pt>
                <c:pt idx="599">
                  <c:v>570.94950755228865</c:v>
                </c:pt>
                <c:pt idx="600">
                  <c:v>560.16720397004474</c:v>
                </c:pt>
                <c:pt idx="601">
                  <c:v>549.38807706136913</c:v>
                </c:pt>
                <c:pt idx="602">
                  <c:v>538.61217591744821</c:v>
                </c:pt>
                <c:pt idx="603">
                  <c:v>527.83954868526394</c:v>
                </c:pt>
                <c:pt idx="604">
                  <c:v>517.07024258257695</c:v>
                </c:pt>
                <c:pt idx="605">
                  <c:v>506.30430391270414</c:v>
                </c:pt>
                <c:pt idx="606">
                  <c:v>495.54177807909315</c:v>
                </c:pt>
                <c:pt idx="607">
                  <c:v>484.78270959969524</c:v>
                </c:pt>
                <c:pt idx="608">
                  <c:v>474.02714212113875</c:v>
                </c:pt>
                <c:pt idx="609">
                  <c:v>463.27511843270531</c:v>
                </c:pt>
                <c:pt idx="610">
                  <c:v>452.52668048011054</c:v>
                </c:pt>
                <c:pt idx="611">
                  <c:v>441.7818693790914</c:v>
                </c:pt>
                <c:pt idx="612">
                  <c:v>431.04072542880226</c:v>
                </c:pt>
                <c:pt idx="613">
                  <c:v>420.3032881250216</c:v>
                </c:pt>
                <c:pt idx="614">
                  <c:v>409.56959617317142</c:v>
                </c:pt>
                <c:pt idx="615">
                  <c:v>398.83968750115127</c:v>
                </c:pt>
                <c:pt idx="616">
                  <c:v>388.11359927198913</c:v>
                </c:pt>
                <c:pt idx="617">
                  <c:v>377.39136789631095</c:v>
                </c:pt>
                <c:pt idx="618">
                  <c:v>366.67302904463099</c:v>
                </c:pt>
                <c:pt idx="619">
                  <c:v>355.95861765946472</c:v>
                </c:pt>
                <c:pt idx="620">
                  <c:v>345.24816796726668</c:v>
                </c:pt>
                <c:pt idx="621">
                  <c:v>334.54171349019509</c:v>
                </c:pt>
                <c:pt idx="622">
                  <c:v>323.83928705770495</c:v>
                </c:pt>
                <c:pt idx="623">
                  <c:v>313.14092081797213</c:v>
                </c:pt>
                <c:pt idx="624">
                  <c:v>302.44664624914998</c:v>
                </c:pt>
                <c:pt idx="625">
                  <c:v>291.75649417046054</c:v>
                </c:pt>
                <c:pt idx="626">
                  <c:v>281.0704947531226</c:v>
                </c:pt>
                <c:pt idx="627">
                  <c:v>270.38867753111805</c:v>
                </c:pt>
                <c:pt idx="628">
                  <c:v>259.71107141179886</c:v>
                </c:pt>
                <c:pt idx="629">
                  <c:v>249.03770468633653</c:v>
                </c:pt>
                <c:pt idx="630">
                  <c:v>238.36860504001572</c:v>
                </c:pt>
                <c:pt idx="631">
                  <c:v>227.70379956237426</c:v>
                </c:pt>
                <c:pt idx="632">
                  <c:v>217.04331475719127</c:v>
                </c:pt>
                <c:pt idx="633">
                  <c:v>206.38717655232529</c:v>
                </c:pt>
                <c:pt idx="634">
                  <c:v>195.73541030940436</c:v>
                </c:pt>
                <c:pt idx="635">
                  <c:v>185.08804083336983</c:v>
                </c:pt>
                <c:pt idx="636">
                  <c:v>174.44509238187575</c:v>
                </c:pt>
                <c:pt idx="637">
                  <c:v>163.80658867454582</c:v>
                </c:pt>
                <c:pt idx="638">
                  <c:v>153.17255290208945</c:v>
                </c:pt>
                <c:pt idx="639">
                  <c:v>142.54300773527902</c:v>
                </c:pt>
                <c:pt idx="640">
                  <c:v>131.91797533378997</c:v>
                </c:pt>
                <c:pt idx="641">
                  <c:v>121.29747735490554</c:v>
                </c:pt>
                <c:pt idx="642">
                  <c:v>110.68153496208794</c:v>
                </c:pt>
                <c:pt idx="643">
                  <c:v>100.07016883341764</c:v>
                </c:pt>
                <c:pt idx="644">
                  <c:v>89.463399169902644</c:v>
                </c:pt>
                <c:pt idx="645">
                  <c:v>78.861245703659364</c:v>
                </c:pt>
                <c:pt idx="646">
                  <c:v>68.263727705966787</c:v>
                </c:pt>
                <c:pt idx="647">
                  <c:v>57.670863995195738</c:v>
                </c:pt>
                <c:pt idx="648">
                  <c:v>47.082672944614842</c:v>
                </c:pt>
                <c:pt idx="649">
                  <c:v>36.49917249007482</c:v>
                </c:pt>
                <c:pt idx="650">
                  <c:v>25.920380137572835</c:v>
                </c:pt>
                <c:pt idx="651">
                  <c:v>15.346312970698486</c:v>
                </c:pt>
                <c:pt idx="652">
                  <c:v>4.7769876579630619</c:v>
                </c:pt>
                <c:pt idx="653">
                  <c:v>-5.7875795399863339</c:v>
                </c:pt>
                <c:pt idx="654">
                  <c:v>-5.798141721721362</c:v>
                </c:pt>
                <c:pt idx="655">
                  <c:v>-5.8087038986745769</c:v>
                </c:pt>
                <c:pt idx="656">
                  <c:v>-5.8192660708459636</c:v>
                </c:pt>
                <c:pt idx="657">
                  <c:v>-5.829828238235506</c:v>
                </c:pt>
                <c:pt idx="658">
                  <c:v>-5.8403904008431899</c:v>
                </c:pt>
                <c:pt idx="659">
                  <c:v>-5.8509525586689994</c:v>
                </c:pt>
                <c:pt idx="660">
                  <c:v>-5.8615147117129194</c:v>
                </c:pt>
                <c:pt idx="661">
                  <c:v>-5.8720768599749347</c:v>
                </c:pt>
                <c:pt idx="662">
                  <c:v>-5.8826390034550302</c:v>
                </c:pt>
                <c:pt idx="663">
                  <c:v>-5.89320114215319</c:v>
                </c:pt>
                <c:pt idx="664">
                  <c:v>-5.903763276069399</c:v>
                </c:pt>
                <c:pt idx="665">
                  <c:v>-5.914325405203642</c:v>
                </c:pt>
                <c:pt idx="666">
                  <c:v>-5.9248875295559031</c:v>
                </c:pt>
                <c:pt idx="667">
                  <c:v>-5.9354496491261681</c:v>
                </c:pt>
                <c:pt idx="668">
                  <c:v>-5.946011763914421</c:v>
                </c:pt>
                <c:pt idx="669">
                  <c:v>-5.9565738739206466</c:v>
                </c:pt>
                <c:pt idx="670">
                  <c:v>-5.9671359791448291</c:v>
                </c:pt>
                <c:pt idx="671">
                  <c:v>-5.9776980795869541</c:v>
                </c:pt>
                <c:pt idx="672">
                  <c:v>-5.9882601752470057</c:v>
                </c:pt>
                <c:pt idx="673">
                  <c:v>-5.9988222661249688</c:v>
                </c:pt>
                <c:pt idx="674">
                  <c:v>-6.0093843522208283</c:v>
                </c:pt>
                <c:pt idx="675">
                  <c:v>-6.0199464335345683</c:v>
                </c:pt>
                <c:pt idx="676">
                  <c:v>-6.0305085100661735</c:v>
                </c:pt>
                <c:pt idx="677">
                  <c:v>-6.0410705818156289</c:v>
                </c:pt>
                <c:pt idx="678">
                  <c:v>-6.0516326487829195</c:v>
                </c:pt>
                <c:pt idx="679">
                  <c:v>-6.0621947109680301</c:v>
                </c:pt>
                <c:pt idx="680">
                  <c:v>-6.0727567683709447</c:v>
                </c:pt>
                <c:pt idx="681">
                  <c:v>-6.0833188209916482</c:v>
                </c:pt>
                <c:pt idx="682">
                  <c:v>-6.0938808688301256</c:v>
                </c:pt>
                <c:pt idx="683">
                  <c:v>-6.1044429118863608</c:v>
                </c:pt>
                <c:pt idx="684">
                  <c:v>-6.1150049501603396</c:v>
                </c:pt>
                <c:pt idx="685">
                  <c:v>-6.1255669836520461</c:v>
                </c:pt>
                <c:pt idx="686">
                  <c:v>-6.1361290123614651</c:v>
                </c:pt>
                <c:pt idx="687">
                  <c:v>-6.1466910362885816</c:v>
                </c:pt>
                <c:pt idx="688">
                  <c:v>-6.1572530554333795</c:v>
                </c:pt>
                <c:pt idx="689">
                  <c:v>-6.1678150697958438</c:v>
                </c:pt>
                <c:pt idx="690">
                  <c:v>-6.1783770793759594</c:v>
                </c:pt>
                <c:pt idx="691">
                  <c:v>-6.1889390841737111</c:v>
                </c:pt>
                <c:pt idx="692">
                  <c:v>-6.1995010841890839</c:v>
                </c:pt>
                <c:pt idx="693">
                  <c:v>-6.2100630794220617</c:v>
                </c:pt>
                <c:pt idx="694">
                  <c:v>-6.2206250698726295</c:v>
                </c:pt>
                <c:pt idx="695">
                  <c:v>-6.2311870555407722</c:v>
                </c:pt>
                <c:pt idx="696">
                  <c:v>-6.2417490364264747</c:v>
                </c:pt>
                <c:pt idx="697">
                  <c:v>-6.252311012529721</c:v>
                </c:pt>
                <c:pt idx="698">
                  <c:v>-6.262872983850496</c:v>
                </c:pt>
                <c:pt idx="699">
                  <c:v>-6.2734349503887845</c:v>
                </c:pt>
                <c:pt idx="700">
                  <c:v>-6.2839969121445716</c:v>
                </c:pt>
                <c:pt idx="701">
                  <c:v>-6.2945588691178411</c:v>
                </c:pt>
                <c:pt idx="702">
                  <c:v>-6.305120821308579</c:v>
                </c:pt>
                <c:pt idx="703">
                  <c:v>-6.3156827687167691</c:v>
                </c:pt>
                <c:pt idx="704">
                  <c:v>-6.3262447113423965</c:v>
                </c:pt>
                <c:pt idx="705">
                  <c:v>-6.3368066491854451</c:v>
                </c:pt>
                <c:pt idx="706">
                  <c:v>-6.3473685822459007</c:v>
                </c:pt>
                <c:pt idx="707">
                  <c:v>-6.3579305105237474</c:v>
                </c:pt>
                <c:pt idx="708">
                  <c:v>-6.3684924340189699</c:v>
                </c:pt>
                <c:pt idx="709">
                  <c:v>-6.3790543527315533</c:v>
                </c:pt>
                <c:pt idx="710">
                  <c:v>-6.3896162666614815</c:v>
                </c:pt>
                <c:pt idx="711">
                  <c:v>-6.4001781758087404</c:v>
                </c:pt>
                <c:pt idx="712">
                  <c:v>-6.4107400801733139</c:v>
                </c:pt>
                <c:pt idx="713">
                  <c:v>-6.4213019797551869</c:v>
                </c:pt>
                <c:pt idx="714">
                  <c:v>-6.4318638745543435</c:v>
                </c:pt>
                <c:pt idx="715">
                  <c:v>-6.4424257645707694</c:v>
                </c:pt>
                <c:pt idx="716">
                  <c:v>-6.4529876498044487</c:v>
                </c:pt>
                <c:pt idx="717">
                  <c:v>-6.4635495302553663</c:v>
                </c:pt>
                <c:pt idx="718">
                  <c:v>-6.474111405923507</c:v>
                </c:pt>
                <c:pt idx="719">
                  <c:v>-6.4846732768088549</c:v>
                </c:pt>
                <c:pt idx="720">
                  <c:v>-6.4952351429113957</c:v>
                </c:pt>
                <c:pt idx="721">
                  <c:v>-6.5057970042311135</c:v>
                </c:pt>
                <c:pt idx="722">
                  <c:v>-6.5163588607679932</c:v>
                </c:pt>
                <c:pt idx="723">
                  <c:v>-6.5269207125220188</c:v>
                </c:pt>
                <c:pt idx="724">
                  <c:v>-6.537482559493176</c:v>
                </c:pt>
                <c:pt idx="725">
                  <c:v>-6.548044401681449</c:v>
                </c:pt>
                <c:pt idx="726">
                  <c:v>-6.5586062390868225</c:v>
                </c:pt>
                <c:pt idx="727">
                  <c:v>-6.5691680717092815</c:v>
                </c:pt>
                <c:pt idx="728">
                  <c:v>-6.5797298995488109</c:v>
                </c:pt>
                <c:pt idx="729">
                  <c:v>-6.5902917226053948</c:v>
                </c:pt>
                <c:pt idx="730">
                  <c:v>-6.6008535408790188</c:v>
                </c:pt>
                <c:pt idx="731">
                  <c:v>-6.611415354369667</c:v>
                </c:pt>
                <c:pt idx="732">
                  <c:v>-6.6219771630773243</c:v>
                </c:pt>
                <c:pt idx="733">
                  <c:v>-6.6325389670019748</c:v>
                </c:pt>
                <c:pt idx="734">
                  <c:v>-6.6431007661436041</c:v>
                </c:pt>
                <c:pt idx="735">
                  <c:v>-6.6536625605021964</c:v>
                </c:pt>
                <c:pt idx="736">
                  <c:v>-6.6642243500777365</c:v>
                </c:pt>
                <c:pt idx="737">
                  <c:v>-6.6747861348702084</c:v>
                </c:pt>
                <c:pt idx="738">
                  <c:v>-6.685347914879598</c:v>
                </c:pt>
                <c:pt idx="739">
                  <c:v>-6.6959096901058892</c:v>
                </c:pt>
                <c:pt idx="740">
                  <c:v>-6.7064714605490678</c:v>
                </c:pt>
                <c:pt idx="741">
                  <c:v>-6.7170332262091179</c:v>
                </c:pt>
                <c:pt idx="742">
                  <c:v>-6.7275949870860234</c:v>
                </c:pt>
                <c:pt idx="743">
                  <c:v>-6.7381567431797702</c:v>
                </c:pt>
                <c:pt idx="744">
                  <c:v>-6.7487184944903422</c:v>
                </c:pt>
                <c:pt idx="745">
                  <c:v>-6.7592802410177244</c:v>
                </c:pt>
                <c:pt idx="746">
                  <c:v>-6.7698419827619016</c:v>
                </c:pt>
                <c:pt idx="747">
                  <c:v>-6.7804037197228588</c:v>
                </c:pt>
                <c:pt idx="748">
                  <c:v>-6.7909654519005809</c:v>
                </c:pt>
                <c:pt idx="749">
                  <c:v>-6.8015271792950518</c:v>
                </c:pt>
                <c:pt idx="750">
                  <c:v>-6.8120889019062565</c:v>
                </c:pt>
                <c:pt idx="751">
                  <c:v>-6.8226506197341799</c:v>
                </c:pt>
                <c:pt idx="752">
                  <c:v>-6.8332123327788068</c:v>
                </c:pt>
                <c:pt idx="753">
                  <c:v>-6.8437740410401213</c:v>
                </c:pt>
                <c:pt idx="754">
                  <c:v>-6.8543357445181083</c:v>
                </c:pt>
                <c:pt idx="755">
                  <c:v>-6.8648974432127536</c:v>
                </c:pt>
                <c:pt idx="756">
                  <c:v>-6.8754591371240412</c:v>
                </c:pt>
                <c:pt idx="757">
                  <c:v>-6.8860208262519551</c:v>
                </c:pt>
                <c:pt idx="758">
                  <c:v>-6.8965825105964811</c:v>
                </c:pt>
                <c:pt idx="759">
                  <c:v>-6.9071441901576032</c:v>
                </c:pt>
                <c:pt idx="760">
                  <c:v>-6.9177058649353063</c:v>
                </c:pt>
                <c:pt idx="761">
                  <c:v>-6.9282675349295753</c:v>
                </c:pt>
                <c:pt idx="762">
                  <c:v>-6.9388292001403951</c:v>
                </c:pt>
                <c:pt idx="763">
                  <c:v>-6.9493908605677497</c:v>
                </c:pt>
                <c:pt idx="764">
                  <c:v>-6.9599525162116249</c:v>
                </c:pt>
                <c:pt idx="765">
                  <c:v>-6.9705141670720048</c:v>
                </c:pt>
                <c:pt idx="766">
                  <c:v>-6.9810758131488742</c:v>
                </c:pt>
                <c:pt idx="767">
                  <c:v>-6.991637454442218</c:v>
                </c:pt>
                <c:pt idx="768">
                  <c:v>-7.0021990909520202</c:v>
                </c:pt>
                <c:pt idx="769">
                  <c:v>-7.0127607226782667</c:v>
                </c:pt>
                <c:pt idx="770">
                  <c:v>-7.0233223496209414</c:v>
                </c:pt>
                <c:pt idx="771">
                  <c:v>-7.0338839717800292</c:v>
                </c:pt>
                <c:pt idx="772">
                  <c:v>-7.0444455891555151</c:v>
                </c:pt>
                <c:pt idx="773">
                  <c:v>-7.055007201747383</c:v>
                </c:pt>
                <c:pt idx="774">
                  <c:v>-7.0655688095556188</c:v>
                </c:pt>
                <c:pt idx="775">
                  <c:v>-7.0761304125802065</c:v>
                </c:pt>
                <c:pt idx="776">
                  <c:v>-7.0866920108211309</c:v>
                </c:pt>
                <c:pt idx="777">
                  <c:v>-7.0972536042783769</c:v>
                </c:pt>
                <c:pt idx="778">
                  <c:v>-7.1078151929519287</c:v>
                </c:pt>
                <c:pt idx="779">
                  <c:v>-7.1183767768417718</c:v>
                </c:pt>
                <c:pt idx="780">
                  <c:v>-7.1289383559478905</c:v>
                </c:pt>
                <c:pt idx="781">
                  <c:v>-7.1394999302702695</c:v>
                </c:pt>
                <c:pt idx="782">
                  <c:v>-7.1500614998088938</c:v>
                </c:pt>
                <c:pt idx="783">
                  <c:v>-7.1606230645637483</c:v>
                </c:pt>
                <c:pt idx="784">
                  <c:v>-7.171184624534817</c:v>
                </c:pt>
                <c:pt idx="785">
                  <c:v>-7.1817461797220856</c:v>
                </c:pt>
                <c:pt idx="786">
                  <c:v>-7.1923077301255383</c:v>
                </c:pt>
                <c:pt idx="787">
                  <c:v>-7.2028692757451598</c:v>
                </c:pt>
                <c:pt idx="788">
                  <c:v>-7.2134308165809342</c:v>
                </c:pt>
                <c:pt idx="789">
                  <c:v>-7.2239923526328473</c:v>
                </c:pt>
                <c:pt idx="790">
                  <c:v>-7.2345538839008832</c:v>
                </c:pt>
                <c:pt idx="791">
                  <c:v>-7.2451154103850275</c:v>
                </c:pt>
                <c:pt idx="792">
                  <c:v>-7.2556769320852643</c:v>
                </c:pt>
                <c:pt idx="793">
                  <c:v>-7.2662384490015786</c:v>
                </c:pt>
                <c:pt idx="794">
                  <c:v>-7.2767999611339542</c:v>
                </c:pt>
                <c:pt idx="795">
                  <c:v>-7.2873614684823771</c:v>
                </c:pt>
                <c:pt idx="796">
                  <c:v>-7.2979229710468312</c:v>
                </c:pt>
                <c:pt idx="797">
                  <c:v>-7.3084844688273014</c:v>
                </c:pt>
                <c:pt idx="798">
                  <c:v>-7.3190459618237727</c:v>
                </c:pt>
                <c:pt idx="799">
                  <c:v>-7.3296074500362298</c:v>
                </c:pt>
                <c:pt idx="800">
                  <c:v>-7.3401689334646569</c:v>
                </c:pt>
                <c:pt idx="801">
                  <c:v>-7.3507304121090398</c:v>
                </c:pt>
                <c:pt idx="802">
                  <c:v>-7.3612918859693623</c:v>
                </c:pt>
                <c:pt idx="803">
                  <c:v>-7.3718533550456096</c:v>
                </c:pt>
                <c:pt idx="804">
                  <c:v>-7.3824148193377663</c:v>
                </c:pt>
                <c:pt idx="805">
                  <c:v>-7.3929762788458175</c:v>
                </c:pt>
                <c:pt idx="806">
                  <c:v>-7.4035377335697472</c:v>
                </c:pt>
                <c:pt idx="807">
                  <c:v>-7.4140991835095402</c:v>
                </c:pt>
                <c:pt idx="808">
                  <c:v>-7.4246606286651824</c:v>
                </c:pt>
                <c:pt idx="809">
                  <c:v>-7.4352220690366577</c:v>
                </c:pt>
                <c:pt idx="810">
                  <c:v>-7.4457835046239502</c:v>
                </c:pt>
                <c:pt idx="811">
                  <c:v>-7.4563449354270457</c:v>
                </c:pt>
                <c:pt idx="812">
                  <c:v>-7.4669063614459281</c:v>
                </c:pt>
                <c:pt idx="813">
                  <c:v>-7.4774677826805833</c:v>
                </c:pt>
                <c:pt idx="814">
                  <c:v>-7.4880291991309953</c:v>
                </c:pt>
                <c:pt idx="815">
                  <c:v>-7.4985906107971489</c:v>
                </c:pt>
                <c:pt idx="816">
                  <c:v>-7.5091520176790283</c:v>
                </c:pt>
                <c:pt idx="817">
                  <c:v>-7.5197134197766191</c:v>
                </c:pt>
                <c:pt idx="818">
                  <c:v>-7.5302748170899054</c:v>
                </c:pt>
                <c:pt idx="819">
                  <c:v>-7.540836209618873</c:v>
                </c:pt>
                <c:pt idx="820">
                  <c:v>-7.5513975973635059</c:v>
                </c:pt>
                <c:pt idx="821">
                  <c:v>-7.561958980323789</c:v>
                </c:pt>
                <c:pt idx="822">
                  <c:v>-7.5725203584997063</c:v>
                </c:pt>
                <c:pt idx="823">
                  <c:v>-7.5830817318912436</c:v>
                </c:pt>
                <c:pt idx="824">
                  <c:v>-7.5936431004983849</c:v>
                </c:pt>
                <c:pt idx="825">
                  <c:v>-7.6042044643211151</c:v>
                </c:pt>
                <c:pt idx="826">
                  <c:v>-7.61476582335942</c:v>
                </c:pt>
                <c:pt idx="827">
                  <c:v>-7.6253271776132827</c:v>
                </c:pt>
                <c:pt idx="828">
                  <c:v>-7.6358885270826891</c:v>
                </c:pt>
                <c:pt idx="829">
                  <c:v>-7.6464498717676239</c:v>
                </c:pt>
                <c:pt idx="830">
                  <c:v>-7.6570112116680713</c:v>
                </c:pt>
                <c:pt idx="831">
                  <c:v>-7.6675725467840161</c:v>
                </c:pt>
                <c:pt idx="832">
                  <c:v>-7.6781338771154433</c:v>
                </c:pt>
                <c:pt idx="833">
                  <c:v>-7.6886952026623376</c:v>
                </c:pt>
                <c:pt idx="834">
                  <c:v>-7.6992565234246841</c:v>
                </c:pt>
                <c:pt idx="835">
                  <c:v>-7.7098178394024668</c:v>
                </c:pt>
                <c:pt idx="836">
                  <c:v>-7.7203791505956714</c:v>
                </c:pt>
                <c:pt idx="837">
                  <c:v>-7.7309404570042819</c:v>
                </c:pt>
                <c:pt idx="838">
                  <c:v>-7.7415017586282833</c:v>
                </c:pt>
                <c:pt idx="839">
                  <c:v>-7.7520630554676604</c:v>
                </c:pt>
                <c:pt idx="840">
                  <c:v>-7.7626243475223982</c:v>
                </c:pt>
                <c:pt idx="841">
                  <c:v>-7.7731856347924806</c:v>
                </c:pt>
                <c:pt idx="842">
                  <c:v>-7.7837469172778935</c:v>
                </c:pt>
                <c:pt idx="843">
                  <c:v>-7.7943081949786208</c:v>
                </c:pt>
                <c:pt idx="844">
                  <c:v>-7.8048694678946475</c:v>
                </c:pt>
                <c:pt idx="845">
                  <c:v>-7.8154307360259585</c:v>
                </c:pt>
                <c:pt idx="846">
                  <c:v>-7.8259919993725386</c:v>
                </c:pt>
                <c:pt idx="847">
                  <c:v>-7.836553257934372</c:v>
                </c:pt>
                <c:pt idx="848">
                  <c:v>-7.8471145117114443</c:v>
                </c:pt>
                <c:pt idx="849">
                  <c:v>-7.8576757607037395</c:v>
                </c:pt>
                <c:pt idx="850">
                  <c:v>-7.8682370049112427</c:v>
                </c:pt>
                <c:pt idx="851">
                  <c:v>-7.8787982443339386</c:v>
                </c:pt>
                <c:pt idx="852">
                  <c:v>-7.8893594789718122</c:v>
                </c:pt>
                <c:pt idx="853">
                  <c:v>-7.8999207088248475</c:v>
                </c:pt>
                <c:pt idx="854">
                  <c:v>-7.9104819338930303</c:v>
                </c:pt>
                <c:pt idx="855">
                  <c:v>-7.9210431541763446</c:v>
                </c:pt>
                <c:pt idx="856">
                  <c:v>-7.9316043696747753</c:v>
                </c:pt>
                <c:pt idx="857">
                  <c:v>-7.9421655803883073</c:v>
                </c:pt>
                <c:pt idx="858">
                  <c:v>-7.9527267863169255</c:v>
                </c:pt>
                <c:pt idx="859">
                  <c:v>-7.9632879874606148</c:v>
                </c:pt>
                <c:pt idx="860">
                  <c:v>-7.9738491838193593</c:v>
                </c:pt>
                <c:pt idx="861">
                  <c:v>-7.9844103753931446</c:v>
                </c:pt>
                <c:pt idx="862">
                  <c:v>-7.9949715621819548</c:v>
                </c:pt>
                <c:pt idx="863">
                  <c:v>-8.0055327441857749</c:v>
                </c:pt>
                <c:pt idx="864">
                  <c:v>-8.0160939214045897</c:v>
                </c:pt>
                <c:pt idx="865">
                  <c:v>-8.026655093838384</c:v>
                </c:pt>
                <c:pt idx="866">
                  <c:v>-8.0372162614871421</c:v>
                </c:pt>
                <c:pt idx="867">
                  <c:v>-8.0477774243508495</c:v>
                </c:pt>
                <c:pt idx="868">
                  <c:v>-8.0583385824294904</c:v>
                </c:pt>
                <c:pt idx="869">
                  <c:v>-8.0688997357230505</c:v>
                </c:pt>
                <c:pt idx="870">
                  <c:v>-8.0794608842315139</c:v>
                </c:pt>
                <c:pt idx="871">
                  <c:v>-8.0900220279548645</c:v>
                </c:pt>
                <c:pt idx="872">
                  <c:v>-8.1005831668930881</c:v>
                </c:pt>
                <c:pt idx="873">
                  <c:v>-8.1111443010461688</c:v>
                </c:pt>
                <c:pt idx="874">
                  <c:v>-8.1217054304140923</c:v>
                </c:pt>
                <c:pt idx="875">
                  <c:v>-8.1322665549968427</c:v>
                </c:pt>
                <c:pt idx="876">
                  <c:v>-8.1428276747944057</c:v>
                </c:pt>
                <c:pt idx="877">
                  <c:v>-8.1533887898067654</c:v>
                </c:pt>
                <c:pt idx="878">
                  <c:v>-8.1639499000339057</c:v>
                </c:pt>
                <c:pt idx="879">
                  <c:v>-8.1745110054758126</c:v>
                </c:pt>
                <c:pt idx="880">
                  <c:v>-8.1850721061324698</c:v>
                </c:pt>
                <c:pt idx="881">
                  <c:v>-8.1956332020038634</c:v>
                </c:pt>
                <c:pt idx="882">
                  <c:v>-8.2061942930899772</c:v>
                </c:pt>
                <c:pt idx="883">
                  <c:v>-8.216755379390797</c:v>
                </c:pt>
                <c:pt idx="884">
                  <c:v>-8.227316460906307</c:v>
                </c:pt>
                <c:pt idx="885">
                  <c:v>-8.237877537636491</c:v>
                </c:pt>
                <c:pt idx="886">
                  <c:v>-8.2484386095813349</c:v>
                </c:pt>
                <c:pt idx="887">
                  <c:v>-8.2589996767408227</c:v>
                </c:pt>
                <c:pt idx="888">
                  <c:v>-8.2695607391149402</c:v>
                </c:pt>
                <c:pt idx="889">
                  <c:v>-8.2801217967036713</c:v>
                </c:pt>
                <c:pt idx="890">
                  <c:v>-8.290682849507002</c:v>
                </c:pt>
                <c:pt idx="891">
                  <c:v>-8.3012438975249161</c:v>
                </c:pt>
                <c:pt idx="892">
                  <c:v>-8.3118049407573977</c:v>
                </c:pt>
                <c:pt idx="893">
                  <c:v>-8.3223659792044327</c:v>
                </c:pt>
                <c:pt idx="894">
                  <c:v>-8.3329270128660049</c:v>
                </c:pt>
                <c:pt idx="895">
                  <c:v>-8.3434880417421002</c:v>
                </c:pt>
                <c:pt idx="896">
                  <c:v>-8.3540490658327027</c:v>
                </c:pt>
                <c:pt idx="897">
                  <c:v>-8.3646100851377962</c:v>
                </c:pt>
                <c:pt idx="898">
                  <c:v>-8.3751710996573667</c:v>
                </c:pt>
                <c:pt idx="899">
                  <c:v>-8.3857321093913999</c:v>
                </c:pt>
                <c:pt idx="900">
                  <c:v>-8.3962931143398798</c:v>
                </c:pt>
                <c:pt idx="901">
                  <c:v>-8.4068541145027904</c:v>
                </c:pt>
                <c:pt idx="902">
                  <c:v>-8.4174151098801175</c:v>
                </c:pt>
                <c:pt idx="903">
                  <c:v>-8.4279761004718452</c:v>
                </c:pt>
                <c:pt idx="904">
                  <c:v>-8.4385370862779592</c:v>
                </c:pt>
                <c:pt idx="905">
                  <c:v>-8.4490980672984435</c:v>
                </c:pt>
                <c:pt idx="906">
                  <c:v>-8.4596590435332821</c:v>
                </c:pt>
                <c:pt idx="907">
                  <c:v>-8.4702200149824609</c:v>
                </c:pt>
                <c:pt idx="908">
                  <c:v>-8.4807809816459638</c:v>
                </c:pt>
                <c:pt idx="909">
                  <c:v>-8.4913419435237767</c:v>
                </c:pt>
                <c:pt idx="910">
                  <c:v>-8.5019029006158835</c:v>
                </c:pt>
                <c:pt idx="911">
                  <c:v>-8.51246385292227</c:v>
                </c:pt>
                <c:pt idx="912">
                  <c:v>-8.5230248004429203</c:v>
                </c:pt>
                <c:pt idx="913">
                  <c:v>-8.5335857431778184</c:v>
                </c:pt>
                <c:pt idx="914">
                  <c:v>-8.54414668112695</c:v>
                </c:pt>
                <c:pt idx="915">
                  <c:v>-8.5547076142903009</c:v>
                </c:pt>
                <c:pt idx="916">
                  <c:v>-8.5652685426678534</c:v>
                </c:pt>
                <c:pt idx="917">
                  <c:v>-8.5758294662595951</c:v>
                </c:pt>
                <c:pt idx="918">
                  <c:v>-8.5863903850655081</c:v>
                </c:pt>
                <c:pt idx="919">
                  <c:v>-8.5969512990855783</c:v>
                </c:pt>
                <c:pt idx="920">
                  <c:v>-8.6075122083197915</c:v>
                </c:pt>
                <c:pt idx="921">
                  <c:v>-8.6180731127681316</c:v>
                </c:pt>
                <c:pt idx="922">
                  <c:v>-8.6286340124305827</c:v>
                </c:pt>
                <c:pt idx="923">
                  <c:v>-8.6391949073071306</c:v>
                </c:pt>
                <c:pt idx="924">
                  <c:v>-8.6497557973977592</c:v>
                </c:pt>
                <c:pt idx="925">
                  <c:v>-8.6603166827024545</c:v>
                </c:pt>
                <c:pt idx="926">
                  <c:v>-8.6708775632212003</c:v>
                </c:pt>
                <c:pt idx="927">
                  <c:v>-8.6814384389539825</c:v>
                </c:pt>
                <c:pt idx="928">
                  <c:v>-8.6919993099007851</c:v>
                </c:pt>
                <c:pt idx="929">
                  <c:v>-8.702560176061592</c:v>
                </c:pt>
                <c:pt idx="930">
                  <c:v>-8.7131210374363892</c:v>
                </c:pt>
                <c:pt idx="931">
                  <c:v>-8.7236818940251624</c:v>
                </c:pt>
                <c:pt idx="932">
                  <c:v>-8.7342427458278937</c:v>
                </c:pt>
                <c:pt idx="933">
                  <c:v>-8.7448035928445709</c:v>
                </c:pt>
                <c:pt idx="934">
                  <c:v>-8.755364435075176</c:v>
                </c:pt>
                <c:pt idx="935">
                  <c:v>-8.765925272519695</c:v>
                </c:pt>
                <c:pt idx="936">
                  <c:v>-8.7764861051781136</c:v>
                </c:pt>
                <c:pt idx="937">
                  <c:v>-8.7870469330504157</c:v>
                </c:pt>
                <c:pt idx="938">
                  <c:v>-8.7976077561365855</c:v>
                </c:pt>
                <c:pt idx="939">
                  <c:v>-8.8081685744366087</c:v>
                </c:pt>
                <c:pt idx="940">
                  <c:v>-8.8187293879504693</c:v>
                </c:pt>
                <c:pt idx="941">
                  <c:v>-8.8292901966781532</c:v>
                </c:pt>
                <c:pt idx="942">
                  <c:v>-8.8398510006196442</c:v>
                </c:pt>
                <c:pt idx="943">
                  <c:v>-8.8504117997749283</c:v>
                </c:pt>
                <c:pt idx="944">
                  <c:v>-8.8609725941439894</c:v>
                </c:pt>
                <c:pt idx="945">
                  <c:v>-8.8715333837268116</c:v>
                </c:pt>
                <c:pt idx="946">
                  <c:v>-8.8820941685233805</c:v>
                </c:pt>
                <c:pt idx="947">
                  <c:v>-8.8926549485336821</c:v>
                </c:pt>
                <c:pt idx="948">
                  <c:v>-8.9032157237577003</c:v>
                </c:pt>
                <c:pt idx="949">
                  <c:v>-8.9137764941954192</c:v>
                </c:pt>
                <c:pt idx="950">
                  <c:v>-8.9243372598468227</c:v>
                </c:pt>
                <c:pt idx="951">
                  <c:v>-8.9348980207118984</c:v>
                </c:pt>
                <c:pt idx="952">
                  <c:v>-8.9454587767906286</c:v>
                </c:pt>
                <c:pt idx="953">
                  <c:v>-8.9560195280829991</c:v>
                </c:pt>
                <c:pt idx="954">
                  <c:v>-8.9665802745889955</c:v>
                </c:pt>
                <c:pt idx="955">
                  <c:v>-8.9771410163086021</c:v>
                </c:pt>
                <c:pt idx="956">
                  <c:v>-8.9877017532418026</c:v>
                </c:pt>
                <c:pt idx="957">
                  <c:v>-8.9982624853885831</c:v>
                </c:pt>
                <c:pt idx="958">
                  <c:v>-9.0088232127489274</c:v>
                </c:pt>
                <c:pt idx="959">
                  <c:v>-9.0193839353228213</c:v>
                </c:pt>
                <c:pt idx="960">
                  <c:v>-9.029944653110249</c:v>
                </c:pt>
                <c:pt idx="961">
                  <c:v>-9.0405053661111943</c:v>
                </c:pt>
                <c:pt idx="962">
                  <c:v>-9.051066074325643</c:v>
                </c:pt>
                <c:pt idx="963">
                  <c:v>-9.0616267777535811</c:v>
                </c:pt>
                <c:pt idx="964">
                  <c:v>-9.0721874763949923</c:v>
                </c:pt>
                <c:pt idx="965">
                  <c:v>-9.0827481702498609</c:v>
                </c:pt>
                <c:pt idx="966">
                  <c:v>-9.0933088593181726</c:v>
                </c:pt>
                <c:pt idx="967">
                  <c:v>-9.1038695435999113</c:v>
                </c:pt>
                <c:pt idx="968">
                  <c:v>-9.1144302230950629</c:v>
                </c:pt>
                <c:pt idx="969">
                  <c:v>-9.1249908978036114</c:v>
                </c:pt>
                <c:pt idx="970">
                  <c:v>-9.1355515677255426</c:v>
                </c:pt>
                <c:pt idx="971">
                  <c:v>-9.1461122328608404</c:v>
                </c:pt>
                <c:pt idx="972">
                  <c:v>-9.156672893209489</c:v>
                </c:pt>
                <c:pt idx="973">
                  <c:v>-9.167233548771474</c:v>
                </c:pt>
                <c:pt idx="974">
                  <c:v>-9.1777941995467813</c:v>
                </c:pt>
                <c:pt idx="975">
                  <c:v>-9.1883548455353932</c:v>
                </c:pt>
                <c:pt idx="976">
                  <c:v>-9.1989154867372971</c:v>
                </c:pt>
                <c:pt idx="977">
                  <c:v>-9.2094761231524753</c:v>
                </c:pt>
                <c:pt idx="978">
                  <c:v>-9.2200367547809137</c:v>
                </c:pt>
                <c:pt idx="979">
                  <c:v>-9.2305973816225979</c:v>
                </c:pt>
                <c:pt idx="980">
                  <c:v>-9.2411580036775121</c:v>
                </c:pt>
                <c:pt idx="981">
                  <c:v>-9.2517186209456419</c:v>
                </c:pt>
                <c:pt idx="982">
                  <c:v>-9.2622792334269715</c:v>
                </c:pt>
                <c:pt idx="983">
                  <c:v>-9.2728398411214847</c:v>
                </c:pt>
                <c:pt idx="984">
                  <c:v>-9.2834004440291675</c:v>
                </c:pt>
                <c:pt idx="985">
                  <c:v>-9.2939610421500038</c:v>
                </c:pt>
                <c:pt idx="986">
                  <c:v>-9.3045216354839795</c:v>
                </c:pt>
                <c:pt idx="987">
                  <c:v>-9.3150822240310784</c:v>
                </c:pt>
                <c:pt idx="988">
                  <c:v>-9.3256428077912865</c:v>
                </c:pt>
                <c:pt idx="989">
                  <c:v>-9.3362033867645877</c:v>
                </c:pt>
                <c:pt idx="990">
                  <c:v>-9.3467639609509678</c:v>
                </c:pt>
                <c:pt idx="991">
                  <c:v>-9.3573245303504109</c:v>
                </c:pt>
                <c:pt idx="992">
                  <c:v>-9.3678850949629009</c:v>
                </c:pt>
                <c:pt idx="993">
                  <c:v>-9.3784456547884236</c:v>
                </c:pt>
                <c:pt idx="994">
                  <c:v>-9.3890062098269631</c:v>
                </c:pt>
                <c:pt idx="995">
                  <c:v>-9.3995667600785051</c:v>
                </c:pt>
                <c:pt idx="996">
                  <c:v>-9.4101273055430337</c:v>
                </c:pt>
                <c:pt idx="997">
                  <c:v>-9.4206878462205346</c:v>
                </c:pt>
                <c:pt idx="998">
                  <c:v>-9.4312483821109918</c:v>
                </c:pt>
                <c:pt idx="999">
                  <c:v>-9.4418089132143912</c:v>
                </c:pt>
                <c:pt idx="1000">
                  <c:v>-9.4523694395307167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2-4CA2-BA56-E0E46E48A26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249.76</c:v>
                </c:pt>
                <c:pt idx="1">
                  <c:v>249.98606828231817</c:v>
                </c:pt>
                <c:pt idx="2">
                  <c:v>250.21301243479186</c:v>
                </c:pt>
                <c:pt idx="3">
                  <c:v>250.44161547829367</c:v>
                </c:pt>
                <c:pt idx="4">
                  <c:v>250.67202008282982</c:v>
                </c:pt>
                <c:pt idx="5">
                  <c:v>250.90409064077559</c:v>
                </c:pt>
                <c:pt idx="6">
                  <c:v>251.13777621963129</c:v>
                </c:pt>
                <c:pt idx="7">
                  <c:v>251.37306826172048</c:v>
                </c:pt>
                <c:pt idx="8">
                  <c:v>251.60995817713072</c:v>
                </c:pt>
                <c:pt idx="9">
                  <c:v>251.84843734436157</c:v>
                </c:pt>
                <c:pt idx="10">
                  <c:v>252.08849711096676</c:v>
                </c:pt>
                <c:pt idx="11">
                  <c:v>252.33012879419087</c:v>
                </c:pt>
                <c:pt idx="12">
                  <c:v>252.57332368160061</c:v>
                </c:pt>
                <c:pt idx="13">
                  <c:v>252.81807303171041</c:v>
                </c:pt>
                <c:pt idx="14">
                  <c:v>253.06436807460281</c:v>
                </c:pt>
                <c:pt idx="15">
                  <c:v>253.31220001254349</c:v>
                </c:pt>
                <c:pt idx="16">
                  <c:v>253.56156002059103</c:v>
                </c:pt>
                <c:pt idx="17">
                  <c:v>253.8124392472015</c:v>
                </c:pt>
                <c:pt idx="18">
                  <c:v>254.06482881482779</c:v>
                </c:pt>
                <c:pt idx="19">
                  <c:v>254.31871982051396</c:v>
                </c:pt>
                <c:pt idx="20">
                  <c:v>254.5741033364844</c:v>
                </c:pt>
                <c:pt idx="21">
                  <c:v>254.83097041072813</c:v>
                </c:pt>
                <c:pt idx="22">
                  <c:v>255.08931206757788</c:v>
                </c:pt>
                <c:pt idx="23">
                  <c:v>255.34911930828443</c:v>
                </c:pt>
                <c:pt idx="24">
                  <c:v>255.61038311158595</c:v>
                </c:pt>
                <c:pt idx="25">
                  <c:v>255.87309443427239</c:v>
                </c:pt>
                <c:pt idx="26">
                  <c:v>256.13724421174516</c:v>
                </c:pt>
                <c:pt idx="27">
                  <c:v>256.40282335857182</c:v>
                </c:pt>
                <c:pt idx="28">
                  <c:v>256.66982276903616</c:v>
                </c:pt>
                <c:pt idx="29">
                  <c:v>256.93823331768328</c:v>
                </c:pt>
                <c:pt idx="30">
                  <c:v>257.20804585986002</c:v>
                </c:pt>
                <c:pt idx="31">
                  <c:v>257.4792512322507</c:v>
                </c:pt>
                <c:pt idx="32">
                  <c:v>257.75184025340815</c:v>
                </c:pt>
                <c:pt idx="33">
                  <c:v>258.02580372427991</c:v>
                </c:pt>
                <c:pt idx="34">
                  <c:v>258.30113242872983</c:v>
                </c:pt>
                <c:pt idx="35">
                  <c:v>258.57781713405507</c:v>
                </c:pt>
                <c:pt idx="36">
                  <c:v>258.85584859149839</c:v>
                </c:pt>
                <c:pt idx="37">
                  <c:v>259.13521753675576</c:v>
                </c:pt>
                <c:pt idx="38">
                  <c:v>259.41591469047944</c:v>
                </c:pt>
                <c:pt idx="39">
                  <c:v>259.69793075877635</c:v>
                </c:pt>
                <c:pt idx="40">
                  <c:v>259.98125643370201</c:v>
                </c:pt>
                <c:pt idx="41">
                  <c:v>260.26588239374973</c:v>
                </c:pt>
                <c:pt idx="42">
                  <c:v>260.5517993043353</c:v>
                </c:pt>
                <c:pt idx="43">
                  <c:v>260.83899781827705</c:v>
                </c:pt>
                <c:pt idx="44">
                  <c:v>261.12746857627144</c:v>
                </c:pt>
                <c:pt idx="45">
                  <c:v>261.41720220736414</c:v>
                </c:pt>
                <c:pt idx="46">
                  <c:v>261.70818932941643</c:v>
                </c:pt>
                <c:pt idx="47">
                  <c:v>262.00042054956714</c:v>
                </c:pt>
                <c:pt idx="48">
                  <c:v>262.2938864646901</c:v>
                </c:pt>
                <c:pt idx="49">
                  <c:v>262.58857766184707</c:v>
                </c:pt>
                <c:pt idx="50">
                  <c:v>262.88448471873613</c:v>
                </c:pt>
                <c:pt idx="51">
                  <c:v>263.18159820413553</c:v>
                </c:pt>
                <c:pt idx="52">
                  <c:v>263.47990867834318</c:v>
                </c:pt>
                <c:pt idx="53">
                  <c:v>263.77940669361163</c:v>
                </c:pt>
                <c:pt idx="54">
                  <c:v>264.08008279457835</c:v>
                </c:pt>
                <c:pt idx="55">
                  <c:v>264.3819275186919</c:v>
                </c:pt>
                <c:pt idx="56">
                  <c:v>264.68493139663337</c:v>
                </c:pt>
                <c:pt idx="57">
                  <c:v>264.98908495273338</c:v>
                </c:pt>
                <c:pt idx="58">
                  <c:v>265.29437870538476</c:v>
                </c:pt>
                <c:pt idx="59">
                  <c:v>265.60080316745081</c:v>
                </c:pt>
                <c:pt idx="60">
                  <c:v>265.90834884666884</c:v>
                </c:pt>
                <c:pt idx="61">
                  <c:v>266.21700624604961</c:v>
                </c:pt>
                <c:pt idx="62">
                  <c:v>266.52676586427214</c:v>
                </c:pt>
                <c:pt idx="63">
                  <c:v>266.83761432252544</c:v>
                </c:pt>
                <c:pt idx="64">
                  <c:v>267.1495304891327</c:v>
                </c:pt>
                <c:pt idx="65">
                  <c:v>267.46248935704352</c:v>
                </c:pt>
                <c:pt idx="66">
                  <c:v>267.77646592398725</c:v>
                </c:pt>
                <c:pt idx="67">
                  <c:v>268.09143163263286</c:v>
                </c:pt>
                <c:pt idx="68">
                  <c:v>268.40735080943523</c:v>
                </c:pt>
                <c:pt idx="69">
                  <c:v>268.7241778889271</c:v>
                </c:pt>
                <c:pt idx="70">
                  <c:v>269.04185463864258</c:v>
                </c:pt>
                <c:pt idx="71">
                  <c:v>269.36031651411179</c:v>
                </c:pt>
                <c:pt idx="72">
                  <c:v>269.679499016433</c:v>
                </c:pt>
                <c:pt idx="73">
                  <c:v>269.99933769726402</c:v>
                </c:pt>
                <c:pt idx="74">
                  <c:v>270.31976816365972</c:v>
                </c:pt>
                <c:pt idx="75">
                  <c:v>270.64072608275609</c:v>
                </c:pt>
                <c:pt idx="76">
                  <c:v>270.96214718630119</c:v>
                </c:pt>
                <c:pt idx="77">
                  <c:v>271.28396727503264</c:v>
                </c:pt>
                <c:pt idx="78">
                  <c:v>271.60612222290257</c:v>
                </c:pt>
                <c:pt idx="79">
                  <c:v>271.92854798115019</c:v>
                </c:pt>
                <c:pt idx="80">
                  <c:v>272.25118058222205</c:v>
                </c:pt>
                <c:pt idx="81">
                  <c:v>272.57396374607112</c:v>
                </c:pt>
                <c:pt idx="82">
                  <c:v>272.89685648021845</c:v>
                </c:pt>
                <c:pt idx="83">
                  <c:v>273.21982545750478</c:v>
                </c:pt>
                <c:pt idx="84">
                  <c:v>273.54283739856527</c:v>
                </c:pt>
                <c:pt idx="85">
                  <c:v>273.86585907262486</c:v>
                </c:pt>
                <c:pt idx="86">
                  <c:v>274.18885729825342</c:v>
                </c:pt>
                <c:pt idx="87">
                  <c:v>274.51179894408034</c:v>
                </c:pt>
                <c:pt idx="88">
                  <c:v>274.83465092946949</c:v>
                </c:pt>
                <c:pt idx="89">
                  <c:v>275.15738263822772</c:v>
                </c:pt>
                <c:pt idx="90">
                  <c:v>275.47996832973212</c:v>
                </c:pt>
                <c:pt idx="91">
                  <c:v>275.80238471831007</c:v>
                </c:pt>
                <c:pt idx="92">
                  <c:v>276.12460855495272</c:v>
                </c:pt>
                <c:pt idx="93">
                  <c:v>276.44661723215603</c:v>
                </c:pt>
                <c:pt idx="94">
                  <c:v>276.76838938805793</c:v>
                </c:pt>
                <c:pt idx="95">
                  <c:v>277.08990429977058</c:v>
                </c:pt>
                <c:pt idx="96">
                  <c:v>277.41114127735403</c:v>
                </c:pt>
                <c:pt idx="97">
                  <c:v>277.73208208808222</c:v>
                </c:pt>
                <c:pt idx="98">
                  <c:v>278.05271337779374</c:v>
                </c:pt>
                <c:pt idx="99">
                  <c:v>278.37302423811587</c:v>
                </c:pt>
                <c:pt idx="100">
                  <c:v>278.69300377653713</c:v>
                </c:pt>
                <c:pt idx="101">
                  <c:v>279.01264111630417</c:v>
                </c:pt>
                <c:pt idx="102">
                  <c:v>279.33192539631489</c:v>
                </c:pt>
                <c:pt idx="103">
                  <c:v>279.65084577100822</c:v>
                </c:pt>
                <c:pt idx="104">
                  <c:v>279.96939141025013</c:v>
                </c:pt>
                <c:pt idx="105">
                  <c:v>280.28755149921608</c:v>
                </c:pt>
                <c:pt idx="106">
                  <c:v>280.60531523827024</c:v>
                </c:pt>
                <c:pt idx="107">
                  <c:v>280.92267184284077</c:v>
                </c:pt>
                <c:pt idx="108">
                  <c:v>281.23961054329214</c:v>
                </c:pt>
                <c:pt idx="109">
                  <c:v>281.55612363485687</c:v>
                </c:pt>
                <c:pt idx="110">
                  <c:v>281.87220952376492</c:v>
                </c:pt>
                <c:pt idx="111">
                  <c:v>282.18786966627374</c:v>
                </c:pt>
                <c:pt idx="112">
                  <c:v>282.50310551158947</c:v>
                </c:pt>
                <c:pt idx="113">
                  <c:v>282.8179185019132</c:v>
                </c:pt>
                <c:pt idx="114">
                  <c:v>283.13231007248692</c:v>
                </c:pt>
                <c:pt idx="115">
                  <c:v>283.44628165163908</c:v>
                </c:pt>
                <c:pt idx="116">
                  <c:v>283.75983466082965</c:v>
                </c:pt>
                <c:pt idx="117">
                  <c:v>284.0729705146951</c:v>
                </c:pt>
                <c:pt idx="118">
                  <c:v>284.38569062109269</c:v>
                </c:pt>
                <c:pt idx="119">
                  <c:v>284.69799638114455</c:v>
                </c:pt>
                <c:pt idx="120">
                  <c:v>285.00988918928147</c:v>
                </c:pt>
                <c:pt idx="121">
                  <c:v>285.32137043328623</c:v>
                </c:pt>
                <c:pt idx="122">
                  <c:v>285.6324414943366</c:v>
                </c:pt>
                <c:pt idx="123">
                  <c:v>285.94310374704799</c:v>
                </c:pt>
                <c:pt idx="124">
                  <c:v>286.25335855951573</c:v>
                </c:pt>
                <c:pt idx="125">
                  <c:v>286.56320729335715</c:v>
                </c:pt>
                <c:pt idx="126">
                  <c:v>286.87265130375306</c:v>
                </c:pt>
                <c:pt idx="127">
                  <c:v>287.18169193948927</c:v>
                </c:pt>
                <c:pt idx="128">
                  <c:v>287.49033054299736</c:v>
                </c:pt>
                <c:pt idx="129">
                  <c:v>287.79856845039541</c:v>
                </c:pt>
                <c:pt idx="130">
                  <c:v>288.10640699152822</c:v>
                </c:pt>
                <c:pt idx="131">
                  <c:v>288.41384749000753</c:v>
                </c:pt>
                <c:pt idx="132">
                  <c:v>288.72089126325142</c:v>
                </c:pt>
                <c:pt idx="133">
                  <c:v>289.02753962252382</c:v>
                </c:pt>
                <c:pt idx="134">
                  <c:v>289.33379387297356</c:v>
                </c:pt>
                <c:pt idx="135">
                  <c:v>289.63965531367307</c:v>
                </c:pt>
                <c:pt idx="136">
                  <c:v>289.94512523765684</c:v>
                </c:pt>
                <c:pt idx="137">
                  <c:v>290.25020493195944</c:v>
                </c:pt>
                <c:pt idx="138">
                  <c:v>290.55489567765352</c:v>
                </c:pt>
                <c:pt idx="139">
                  <c:v>290.85919874988713</c:v>
                </c:pt>
                <c:pt idx="140">
                  <c:v>291.16311541792118</c:v>
                </c:pt>
                <c:pt idx="141">
                  <c:v>291.46664694516619</c:v>
                </c:pt>
                <c:pt idx="142">
                  <c:v>291.76979458921903</c:v>
                </c:pt>
                <c:pt idx="143">
                  <c:v>292.07255960189923</c:v>
                </c:pt>
                <c:pt idx="144">
                  <c:v>292.37494322928507</c:v>
                </c:pt>
                <c:pt idx="145">
                  <c:v>292.67694671174945</c:v>
                </c:pt>
                <c:pt idx="146">
                  <c:v>292.97857128399534</c:v>
                </c:pt>
                <c:pt idx="147">
                  <c:v>293.27981817509095</c:v>
                </c:pt>
                <c:pt idx="148">
                  <c:v>293.58068860850489</c:v>
                </c:pt>
                <c:pt idx="149">
                  <c:v>293.88118380214058</c:v>
                </c:pt>
                <c:pt idx="150">
                  <c:v>294.18130496837102</c:v>
                </c:pt>
                <c:pt idx="151">
                  <c:v>294.4810533140726</c:v>
                </c:pt>
                <c:pt idx="152">
                  <c:v>294.78043004065927</c:v>
                </c:pt>
                <c:pt idx="153">
                  <c:v>295.079436344116</c:v>
                </c:pt>
                <c:pt idx="154">
                  <c:v>295.37807341503225</c:v>
                </c:pt>
                <c:pt idx="155">
                  <c:v>295.67634243863506</c:v>
                </c:pt>
                <c:pt idx="156">
                  <c:v>295.97424459482193</c:v>
                </c:pt>
                <c:pt idx="157">
                  <c:v>296.27178105819337</c:v>
                </c:pt>
                <c:pt idx="158">
                  <c:v>296.56895299808536</c:v>
                </c:pt>
                <c:pt idx="159">
                  <c:v>296.86576157860139</c:v>
                </c:pt>
                <c:pt idx="160">
                  <c:v>297.16220795864433</c:v>
                </c:pt>
                <c:pt idx="161">
                  <c:v>297.45829329194811</c:v>
                </c:pt>
                <c:pt idx="162">
                  <c:v>297.75401872710904</c:v>
                </c:pt>
                <c:pt idx="163">
                  <c:v>298.04938540761708</c:v>
                </c:pt>
                <c:pt idx="164">
                  <c:v>298.34439447188657</c:v>
                </c:pt>
                <c:pt idx="165">
                  <c:v>298.63904705328707</c:v>
                </c:pt>
                <c:pt idx="166">
                  <c:v>298.9333442801738</c:v>
                </c:pt>
                <c:pt idx="167">
                  <c:v>299.22728727591766</c:v>
                </c:pt>
                <c:pt idx="168">
                  <c:v>299.52087715893549</c:v>
                </c:pt>
                <c:pt idx="169">
                  <c:v>299.81411504271972</c:v>
                </c:pt>
                <c:pt idx="170">
                  <c:v>300.10700203586777</c:v>
                </c:pt>
                <c:pt idx="171">
                  <c:v>300.39953924211164</c:v>
                </c:pt>
                <c:pt idx="172">
                  <c:v>300.69172776034679</c:v>
                </c:pt>
                <c:pt idx="173">
                  <c:v>300.98356868466118</c:v>
                </c:pt>
                <c:pt idx="174">
                  <c:v>301.27506310436377</c:v>
                </c:pt>
                <c:pt idx="175">
                  <c:v>301.56621210401312</c:v>
                </c:pt>
                <c:pt idx="176">
                  <c:v>301.85701676344553</c:v>
                </c:pt>
                <c:pt idx="177">
                  <c:v>302.14747815780322</c:v>
                </c:pt>
                <c:pt idx="178">
                  <c:v>302.43759735756191</c:v>
                </c:pt>
                <c:pt idx="179">
                  <c:v>302.72737542855873</c:v>
                </c:pt>
                <c:pt idx="180">
                  <c:v>303.01681343201932</c:v>
                </c:pt>
                <c:pt idx="181">
                  <c:v>303.30591242458536</c:v>
                </c:pt>
                <c:pt idx="182">
                  <c:v>303.59467345834133</c:v>
                </c:pt>
                <c:pt idx="183">
                  <c:v>303.88309758084142</c:v>
                </c:pt>
                <c:pt idx="184">
                  <c:v>304.17118583513621</c:v>
                </c:pt>
                <c:pt idx="185">
                  <c:v>304.45893925979897</c:v>
                </c:pt>
                <c:pt idx="186">
                  <c:v>304.74635888895187</c:v>
                </c:pt>
                <c:pt idx="187">
                  <c:v>305.03344575229221</c:v>
                </c:pt>
                <c:pt idx="188">
                  <c:v>305.32020087511808</c:v>
                </c:pt>
                <c:pt idx="189">
                  <c:v>305.60662527835399</c:v>
                </c:pt>
                <c:pt idx="190">
                  <c:v>305.89271997857657</c:v>
                </c:pt>
                <c:pt idx="191">
                  <c:v>306.17848598803954</c:v>
                </c:pt>
                <c:pt idx="192">
                  <c:v>306.46392431469911</c:v>
                </c:pt>
                <c:pt idx="193">
                  <c:v>306.74903596223862</c:v>
                </c:pt>
                <c:pt idx="194">
                  <c:v>307.0338219300935</c:v>
                </c:pt>
                <c:pt idx="195">
                  <c:v>307.31828321347575</c:v>
                </c:pt>
                <c:pt idx="196">
                  <c:v>307.60242080339822</c:v>
                </c:pt>
                <c:pt idx="197">
                  <c:v>307.88623568669897</c:v>
                </c:pt>
                <c:pt idx="198">
                  <c:v>308.16972884606525</c:v>
                </c:pt>
                <c:pt idx="199">
                  <c:v>308.45290126005727</c:v>
                </c:pt>
                <c:pt idx="200">
                  <c:v>308.73575390313204</c:v>
                </c:pt>
                <c:pt idx="201">
                  <c:v>311.54676809189755</c:v>
                </c:pt>
                <c:pt idx="202">
                  <c:v>314.32642912609884</c:v>
                </c:pt>
                <c:pt idx="203">
                  <c:v>317.07567436121542</c:v>
                </c:pt>
                <c:pt idx="204">
                  <c:v>319.79540302279918</c:v>
                </c:pt>
                <c:pt idx="205">
                  <c:v>322.48647830835705</c:v>
                </c:pt>
                <c:pt idx="206">
                  <c:v>325.14972934609784</c:v>
                </c:pt>
                <c:pt idx="207">
                  <c:v>327.78595302214762</c:v>
                </c:pt>
                <c:pt idx="208">
                  <c:v>330.39591568674939</c:v>
                </c:pt>
                <c:pt idx="209">
                  <c:v>332.98035474899262</c:v>
                </c:pt>
                <c:pt idx="210">
                  <c:v>335.53998016874681</c:v>
                </c:pt>
                <c:pt idx="211">
                  <c:v>338.07547585369349</c:v>
                </c:pt>
                <c:pt idx="212">
                  <c:v>340.58750096864975</c:v>
                </c:pt>
                <c:pt idx="213">
                  <c:v>343.07669116374575</c:v>
                </c:pt>
                <c:pt idx="214">
                  <c:v>345.54365972745057</c:v>
                </c:pt>
                <c:pt idx="215">
                  <c:v>347.98899866992866</c:v>
                </c:pt>
                <c:pt idx="216">
                  <c:v>350.41327974174567</c:v>
                </c:pt>
                <c:pt idx="217">
                  <c:v>352.81705539252454</c:v>
                </c:pt>
                <c:pt idx="218">
                  <c:v>355.20085967377287</c:v>
                </c:pt>
                <c:pt idx="219">
                  <c:v>357.56520908975921</c:v>
                </c:pt>
                <c:pt idx="220">
                  <c:v>359.91060340000388</c:v>
                </c:pt>
                <c:pt idx="221">
                  <c:v>362.23752637666558</c:v>
                </c:pt>
                <c:pt idx="222">
                  <c:v>364.54644651984813</c:v>
                </c:pt>
                <c:pt idx="223">
                  <c:v>366.83781773361466</c:v>
                </c:pt>
                <c:pt idx="224">
                  <c:v>369.11207996528378</c:v>
                </c:pt>
                <c:pt idx="225">
                  <c:v>371.36965981038543</c:v>
                </c:pt>
                <c:pt idx="226">
                  <c:v>373.61097108547494</c:v>
                </c:pt>
                <c:pt idx="227">
                  <c:v>375.83641537084065</c:v>
                </c:pt>
                <c:pt idx="228">
                  <c:v>378.04638252498978</c:v>
                </c:pt>
                <c:pt idx="229">
                  <c:v>380.24125117265953</c:v>
                </c:pt>
                <c:pt idx="230">
                  <c:v>382.42138916797501</c:v>
                </c:pt>
                <c:pt idx="231">
                  <c:v>384.58715403425799</c:v>
                </c:pt>
                <c:pt idx="232">
                  <c:v>386.7388933818853</c:v>
                </c:pt>
                <c:pt idx="233">
                  <c:v>388.87694530549624</c:v>
                </c:pt>
                <c:pt idx="234">
                  <c:v>391.00163876175816</c:v>
                </c:pt>
                <c:pt idx="235">
                  <c:v>393.11329392881657</c:v>
                </c:pt>
                <c:pt idx="236">
                  <c:v>395.21222254847731</c:v>
                </c:pt>
                <c:pt idx="237">
                  <c:v>397.29872825209884</c:v>
                </c:pt>
                <c:pt idx="238">
                  <c:v>399.37310687110539</c:v>
                </c:pt>
                <c:pt idx="239">
                  <c:v>401.43564673297124</c:v>
                </c:pt>
                <c:pt idx="240">
                  <c:v>403.48662894346955</c:v>
                </c:pt>
                <c:pt idx="241">
                  <c:v>405.52632765592642</c:v>
                </c:pt>
                <c:pt idx="242">
                  <c:v>407.55501032817216</c:v>
                </c:pt>
                <c:pt idx="243">
                  <c:v>409.57293796783631</c:v>
                </c:pt>
                <c:pt idx="244">
                  <c:v>411.58036536658989</c:v>
                </c:pt>
                <c:pt idx="245">
                  <c:v>413.57754132389988</c:v>
                </c:pt>
                <c:pt idx="246">
                  <c:v>415.56470886082292</c:v>
                </c:pt>
                <c:pt idx="247">
                  <c:v>417.54210542433111</c:v>
                </c:pt>
                <c:pt idx="248">
                  <c:v>419.50996308263052</c:v>
                </c:pt>
                <c:pt idx="249">
                  <c:v>421.4685087119019</c:v>
                </c:pt>
                <c:pt idx="250">
                  <c:v>423.41796417486472</c:v>
                </c:pt>
                <c:pt idx="251">
                  <c:v>425.35854649153879</c:v>
                </c:pt>
                <c:pt idx="252">
                  <c:v>427.29046800255151</c:v>
                </c:pt>
                <c:pt idx="253">
                  <c:v>429.21393652531498</c:v>
                </c:pt>
                <c:pt idx="254">
                  <c:v>431.1291555033734</c:v>
                </c:pt>
                <c:pt idx="255">
                  <c:v>433.03632414919946</c:v>
                </c:pt>
                <c:pt idx="256">
                  <c:v>434.93563758069706</c:v>
                </c:pt>
                <c:pt idx="257">
                  <c:v>436.82728695164707</c:v>
                </c:pt>
                <c:pt idx="258">
                  <c:v>438.71145957631251</c:v>
                </c:pt>
                <c:pt idx="259">
                  <c:v>440.58833904840083</c:v>
                </c:pt>
                <c:pt idx="260">
                  <c:v>442.45810535456167</c:v>
                </c:pt>
                <c:pt idx="261">
                  <c:v>444.3209349825791</c:v>
                </c:pt>
                <c:pt idx="262">
                  <c:v>446.17700102439937</c:v>
                </c:pt>
                <c:pt idx="263">
                  <c:v>448.02647327411603</c:v>
                </c:pt>
                <c:pt idx="264">
                  <c:v>449.86951832101539</c:v>
                </c:pt>
                <c:pt idx="265">
                  <c:v>451.70629963776634</c:v>
                </c:pt>
                <c:pt idx="266">
                  <c:v>453.53697766381805</c:v>
                </c:pt>
                <c:pt idx="267">
                  <c:v>455.36170988404933</c:v>
                </c:pt>
                <c:pt idx="268">
                  <c:v>457.18065090269192</c:v>
                </c:pt>
                <c:pt idx="269">
                  <c:v>458.99395251252713</c:v>
                </c:pt>
                <c:pt idx="270">
                  <c:v>460.80176375933235</c:v>
                </c:pt>
                <c:pt idx="271">
                  <c:v>462.60423100152792</c:v>
                </c:pt>
                <c:pt idx="272">
                  <c:v>464.40149796494836</c:v>
                </c:pt>
                <c:pt idx="273">
                  <c:v>466.19370579263233</c:v>
                </c:pt>
                <c:pt idx="274">
                  <c:v>467.98099308949492</c:v>
                </c:pt>
                <c:pt idx="275">
                  <c:v>469.76349596171065</c:v>
                </c:pt>
                <c:pt idx="276">
                  <c:v>471.54134805059886</c:v>
                </c:pt>
                <c:pt idx="277">
                  <c:v>473.31468056076255</c:v>
                </c:pt>
                <c:pt idx="278">
                  <c:v>475.08362228218692</c:v>
                </c:pt>
                <c:pt idx="279">
                  <c:v>476.84829960595516</c:v>
                </c:pt>
                <c:pt idx="280">
                  <c:v>478.60883653318695</c:v>
                </c:pt>
                <c:pt idx="281">
                  <c:v>480.36535467674668</c:v>
                </c:pt>
                <c:pt idx="282">
                  <c:v>482.117973255207</c:v>
                </c:pt>
                <c:pt idx="283">
                  <c:v>483.86680907848671</c:v>
                </c:pt>
                <c:pt idx="284">
                  <c:v>485.61197652451062</c:v>
                </c:pt>
                <c:pt idx="285">
                  <c:v>487.35358750616649</c:v>
                </c:pt>
                <c:pt idx="286">
                  <c:v>489.09175142775774</c:v>
                </c:pt>
                <c:pt idx="287">
                  <c:v>490.82657513007575</c:v>
                </c:pt>
                <c:pt idx="288">
                  <c:v>492.55816282314584</c:v>
                </c:pt>
                <c:pt idx="289">
                  <c:v>494.28661600563817</c:v>
                </c:pt>
                <c:pt idx="290">
                  <c:v>496.01203336988993</c:v>
                </c:pt>
                <c:pt idx="291">
                  <c:v>497.73451069146387</c:v>
                </c:pt>
                <c:pt idx="292">
                  <c:v>499.45414070218595</c:v>
                </c:pt>
                <c:pt idx="293">
                  <c:v>501.17101294567385</c:v>
                </c:pt>
                <c:pt idx="294">
                  <c:v>502.88521361451126</c:v>
                </c:pt>
                <c:pt idx="295">
                  <c:v>504.59682536846037</c:v>
                </c:pt>
                <c:pt idx="296">
                  <c:v>506.30592713346505</c:v>
                </c:pt>
                <c:pt idx="297">
                  <c:v>508.01259388170655</c:v>
                </c:pt>
                <c:pt idx="298">
                  <c:v>509.71689639365979</c:v>
                </c:pt>
                <c:pt idx="299">
                  <c:v>511.41890100397842</c:v>
                </c:pt>
                <c:pt idx="300">
                  <c:v>513.11866933412125</c:v>
                </c:pt>
                <c:pt idx="301">
                  <c:v>514.8162580159011</c:v>
                </c:pt>
                <c:pt idx="302">
                  <c:v>516.51171841154087</c:v>
                </c:pt>
                <c:pt idx="303">
                  <c:v>518.20509633727534</c:v>
                </c:pt>
                <c:pt idx="304">
                  <c:v>519.89643179889322</c:v>
                </c:pt>
                <c:pt idx="305">
                  <c:v>521.58575874870905</c:v>
                </c:pt>
                <c:pt idx="306">
                  <c:v>523.27310487407067</c:v>
                </c:pt>
                <c:pt idx="307">
                  <c:v>524.95849142746761</c:v>
                </c:pt>
                <c:pt idx="308">
                  <c:v>526.64193310745384</c:v>
                </c:pt>
                <c:pt idx="309">
                  <c:v>528.32343799789692</c:v>
                </c:pt>
                <c:pt idx="310">
                  <c:v>530.00300757059063</c:v>
                </c:pt>
                <c:pt idx="311">
                  <c:v>531.68063675323992</c:v>
                </c:pt>
                <c:pt idx="312">
                  <c:v>533.35631406156301</c:v>
                </c:pt>
                <c:pt idx="313">
                  <c:v>535.03002179112571</c:v>
                </c:pt>
                <c:pt idx="314">
                  <c:v>536.70173626187125</c:v>
                </c:pt>
                <c:pt idx="315">
                  <c:v>538.37142810638261</c:v>
                </c:pt>
                <c:pt idx="316">
                  <c:v>540.03906259184191</c:v>
                </c:pt>
                <c:pt idx="317">
                  <c:v>541.70459996541786</c:v>
                </c:pt>
                <c:pt idx="318">
                  <c:v>543.36799581329421</c:v>
                </c:pt>
                <c:pt idx="319">
                  <c:v>545.02920142456969</c:v>
                </c:pt>
                <c:pt idx="320">
                  <c:v>546.68816415260028</c:v>
                </c:pt>
                <c:pt idx="321">
                  <c:v>548.34482776783136</c:v>
                </c:pt>
                <c:pt idx="322">
                  <c:v>549.99913279762791</c:v>
                </c:pt>
                <c:pt idx="323">
                  <c:v>551.65101684994772</c:v>
                </c:pt>
                <c:pt idx="324">
                  <c:v>553.300414918858</c:v>
                </c:pt>
                <c:pt idx="325">
                  <c:v>554.9472596708456</c:v>
                </c:pt>
                <c:pt idx="326">
                  <c:v>556.59148171161382</c:v>
                </c:pt>
                <c:pt idx="327">
                  <c:v>558.23300983361594</c:v>
                </c:pt>
                <c:pt idx="328">
                  <c:v>559.87177124497134</c:v>
                </c:pt>
                <c:pt idx="329">
                  <c:v>561.50769178067537</c:v>
                </c:pt>
                <c:pt idx="330">
                  <c:v>563.14069609717296</c:v>
                </c:pt>
                <c:pt idx="331">
                  <c:v>564.77070785144883</c:v>
                </c:pt>
                <c:pt idx="332">
                  <c:v>566.39764986581019</c:v>
                </c:pt>
                <c:pt idx="333">
                  <c:v>568.02144427951953</c:v>
                </c:pt>
                <c:pt idx="334">
                  <c:v>569.64201268839167</c:v>
                </c:pt>
                <c:pt idx="335">
                  <c:v>571.25927627340593</c:v>
                </c:pt>
                <c:pt idx="336">
                  <c:v>572.8731559193119</c:v>
                </c:pt>
                <c:pt idx="337">
                  <c:v>574.48357232413241</c:v>
                </c:pt>
                <c:pt idx="338">
                  <c:v>576.09044610038825</c:v>
                </c:pt>
                <c:pt idx="339">
                  <c:v>577.69369786879611</c:v>
                </c:pt>
                <c:pt idx="340">
                  <c:v>579.29324834511817</c:v>
                </c:pt>
                <c:pt idx="341">
                  <c:v>580.88901842077689</c:v>
                </c:pt>
                <c:pt idx="342">
                  <c:v>582.48092923778461</c:v>
                </c:pt>
                <c:pt idx="343">
                  <c:v>584.06890225848338</c:v>
                </c:pt>
                <c:pt idx="344">
                  <c:v>585.65285933053747</c:v>
                </c:pt>
                <c:pt idx="345">
                  <c:v>587.23272274757596</c:v>
                </c:pt>
                <c:pt idx="346">
                  <c:v>588.80841530584019</c:v>
                </c:pt>
                <c:pt idx="347">
                  <c:v>590.37986035715426</c:v>
                </c:pt>
                <c:pt idx="348">
                  <c:v>591.94698185850325</c:v>
                </c:pt>
                <c:pt idx="349">
                  <c:v>593.50970441847369</c:v>
                </c:pt>
                <c:pt idx="350">
                  <c:v>595.06795334078561</c:v>
                </c:pt>
                <c:pt idx="351">
                  <c:v>596.62165466511965</c:v>
                </c:pt>
                <c:pt idx="352">
                  <c:v>598.17073520542488</c:v>
                </c:pt>
                <c:pt idx="353">
                  <c:v>599.7151225858712</c:v>
                </c:pt>
                <c:pt idx="354">
                  <c:v>601.25474527459664</c:v>
                </c:pt>
                <c:pt idx="355">
                  <c:v>602.78953261538254</c:v>
                </c:pt>
                <c:pt idx="356">
                  <c:v>604.31941485737912</c:v>
                </c:pt>
                <c:pt idx="357">
                  <c:v>605.84432318299059</c:v>
                </c:pt>
                <c:pt idx="358">
                  <c:v>607.36418973401885</c:v>
                </c:pt>
                <c:pt idx="359">
                  <c:v>608.8789476361577</c:v>
                </c:pt>
                <c:pt idx="360">
                  <c:v>610.38853102191831</c:v>
                </c:pt>
                <c:pt idx="361">
                  <c:v>611.89287505206244</c:v>
                </c:pt>
                <c:pt idx="362">
                  <c:v>613.39191593561122</c:v>
                </c:pt>
                <c:pt idx="363">
                  <c:v>614.88559094849393</c:v>
                </c:pt>
                <c:pt idx="364">
                  <c:v>616.373838450893</c:v>
                </c:pt>
                <c:pt idx="365">
                  <c:v>617.85659790334159</c:v>
                </c:pt>
                <c:pt idx="366">
                  <c:v>619.33380988162037</c:v>
                </c:pt>
                <c:pt idx="367">
                  <c:v>620.8054160905026</c:v>
                </c:pt>
                <c:pt idx="368">
                  <c:v>622.27135937638786</c:v>
                </c:pt>
                <c:pt idx="369">
                  <c:v>623.7315837388669</c:v>
                </c:pt>
                <c:pt idx="370">
                  <c:v>625.18603434125305</c:v>
                </c:pt>
                <c:pt idx="371">
                  <c:v>626.63465752011768</c:v>
                </c:pt>
                <c:pt idx="372">
                  <c:v>628.07740079386156</c:v>
                </c:pt>
                <c:pt idx="373">
                  <c:v>629.51421287035487</c:v>
                </c:pt>
                <c:pt idx="374">
                  <c:v>630.94504365367482</c:v>
                </c:pt>
                <c:pt idx="375">
                  <c:v>632.36984424997024</c:v>
                </c:pt>
                <c:pt idx="376">
                  <c:v>633.78856697248057</c:v>
                </c:pt>
                <c:pt idx="377">
                  <c:v>635.20116534573492</c:v>
                </c:pt>
                <c:pt idx="378">
                  <c:v>636.60759410895685</c:v>
                </c:pt>
                <c:pt idx="379">
                  <c:v>638.0078092186983</c:v>
                </c:pt>
                <c:pt idx="380">
                  <c:v>639.40176785072765</c:v>
                </c:pt>
                <c:pt idx="381">
                  <c:v>640.78942840119271</c:v>
                </c:pt>
                <c:pt idx="382">
                  <c:v>642.17075048708227</c:v>
                </c:pt>
                <c:pt idx="383">
                  <c:v>643.54569494600628</c:v>
                </c:pt>
                <c:pt idx="384">
                  <c:v>644.91422383531653</c:v>
                </c:pt>
                <c:pt idx="385">
                  <c:v>646.27630043058775</c:v>
                </c:pt>
                <c:pt idx="386">
                  <c:v>647.63188922347854</c:v>
                </c:pt>
                <c:pt idx="387">
                  <c:v>648.98095591899255</c:v>
                </c:pt>
                <c:pt idx="388">
                  <c:v>650.32346743215783</c:v>
                </c:pt>
                <c:pt idx="389">
                  <c:v>651.65939188414416</c:v>
                </c:pt>
                <c:pt idx="390">
                  <c:v>652.98869859783576</c:v>
                </c:pt>
                <c:pt idx="391">
                  <c:v>654.31135809287809</c:v>
                </c:pt>
                <c:pt idx="392">
                  <c:v>655.62734208021573</c:v>
                </c:pt>
                <c:pt idx="393">
                  <c:v>656.93662345613961</c:v>
                </c:pt>
                <c:pt idx="394">
                  <c:v>658.23917629586026</c:v>
                </c:pt>
                <c:pt idx="395">
                  <c:v>659.53497584662387</c:v>
                </c:pt>
                <c:pt idx="396">
                  <c:v>660.82399852038827</c:v>
                </c:pt>
                <c:pt idx="397">
                  <c:v>662.10622188607465</c:v>
                </c:pt>
                <c:pt idx="398">
                  <c:v>663.38162466141193</c:v>
                </c:pt>
                <c:pt idx="399">
                  <c:v>664.65018670438894</c:v>
                </c:pt>
                <c:pt idx="400">
                  <c:v>665.91188900433087</c:v>
                </c:pt>
                <c:pt idx="401">
                  <c:v>667.16671367261461</c:v>
                </c:pt>
                <c:pt idx="402">
                  <c:v>668.41464393303897</c:v>
                </c:pt>
                <c:pt idx="403">
                  <c:v>669.65566411186444</c:v>
                </c:pt>
                <c:pt idx="404">
                  <c:v>670.8897596275375</c:v>
                </c:pt>
                <c:pt idx="405">
                  <c:v>672.11691698011384</c:v>
                </c:pt>
                <c:pt idx="406">
                  <c:v>673.33712374039476</c:v>
                </c:pt>
                <c:pt idx="407">
                  <c:v>674.55036853879142</c:v>
                </c:pt>
                <c:pt idx="408">
                  <c:v>675.75664105393037</c:v>
                </c:pt>
                <c:pt idx="409">
                  <c:v>676.95593200101371</c:v>
                </c:pt>
                <c:pt idx="410">
                  <c:v>678.14823311994837</c:v>
                </c:pt>
                <c:pt idx="411">
                  <c:v>679.33353716325644</c:v>
                </c:pt>
                <c:pt idx="412">
                  <c:v>680.51183788378091</c:v>
                </c:pt>
                <c:pt idx="413">
                  <c:v>681.68313002219793</c:v>
                </c:pt>
                <c:pt idx="414">
                  <c:v>682.84740929434952</c:v>
                </c:pt>
                <c:pt idx="415">
                  <c:v>684.0046723784086</c:v>
                </c:pt>
                <c:pt idx="416">
                  <c:v>685.1549169018873</c:v>
                </c:pt>
                <c:pt idx="417">
                  <c:v>686.29814142850239</c:v>
                </c:pt>
                <c:pt idx="418">
                  <c:v>687.43434544490697</c:v>
                </c:pt>
                <c:pt idx="419">
                  <c:v>688.56352934730194</c:v>
                </c:pt>
                <c:pt idx="420">
                  <c:v>689.68569442793648</c:v>
                </c:pt>
                <c:pt idx="421">
                  <c:v>690.80084286150964</c:v>
                </c:pt>
                <c:pt idx="422">
                  <c:v>691.90897769148262</c:v>
                </c:pt>
                <c:pt idx="423">
                  <c:v>693.01010281631261</c:v>
                </c:pt>
                <c:pt idx="424">
                  <c:v>694.1042229756182</c:v>
                </c:pt>
                <c:pt idx="425">
                  <c:v>695.19134373628572</c:v>
                </c:pt>
                <c:pt idx="426">
                  <c:v>696.27147147852634</c:v>
                </c:pt>
                <c:pt idx="427">
                  <c:v>697.34461338189351</c:v>
                </c:pt>
                <c:pt idx="428">
                  <c:v>698.41077741126935</c:v>
                </c:pt>
                <c:pt idx="429">
                  <c:v>699.46997230282852</c:v>
                </c:pt>
                <c:pt idx="430">
                  <c:v>700.52220754998905</c:v>
                </c:pt>
                <c:pt idx="431">
                  <c:v>701.56749338935731</c:v>
                </c:pt>
                <c:pt idx="432">
                  <c:v>702.60584078667603</c:v>
                </c:pt>
                <c:pt idx="433">
                  <c:v>703.63726142278279</c:v>
                </c:pt>
                <c:pt idx="434">
                  <c:v>704.66176767958621</c:v>
                </c:pt>
                <c:pt idx="435">
                  <c:v>705.67937262606802</c:v>
                </c:pt>
                <c:pt idx="436">
                  <c:v>706.6900900043172</c:v>
                </c:pt>
                <c:pt idx="437">
                  <c:v>707.69393421560324</c:v>
                </c:pt>
                <c:pt idx="438">
                  <c:v>708.6909203064954</c:v>
                </c:pt>
                <c:pt idx="439">
                  <c:v>709.68106395503435</c:v>
                </c:pt>
                <c:pt idx="440">
                  <c:v>710.66438145696156</c:v>
                </c:pt>
                <c:pt idx="441">
                  <c:v>711.64088971201329</c:v>
                </c:pt>
                <c:pt idx="442">
                  <c:v>712.61060621028389</c:v>
                </c:pt>
                <c:pt idx="443">
                  <c:v>713.57354901866518</c:v>
                </c:pt>
                <c:pt idx="444">
                  <c:v>714.52973676736531</c:v>
                </c:pt>
                <c:pt idx="445">
                  <c:v>715.47918863651364</c:v>
                </c:pt>
                <c:pt idx="446">
                  <c:v>716.42192434285607</c:v>
                </c:pt>
                <c:pt idx="447">
                  <c:v>717.35796412654429</c:v>
                </c:pt>
                <c:pt idx="448">
                  <c:v>718.28732873802494</c:v>
                </c:pt>
                <c:pt idx="449">
                  <c:v>719.21003942503194</c:v>
                </c:pt>
                <c:pt idx="450">
                  <c:v>720.12611791968561</c:v>
                </c:pt>
                <c:pt idx="451">
                  <c:v>721.03558642570329</c:v>
                </c:pt>
                <c:pt idx="452">
                  <c:v>721.93846760572421</c:v>
                </c:pt>
                <c:pt idx="453">
                  <c:v>722.83478456875241</c:v>
                </c:pt>
                <c:pt idx="454">
                  <c:v>723.72456085772058</c:v>
                </c:pt>
                <c:pt idx="455">
                  <c:v>724.60782043717802</c:v>
                </c:pt>
                <c:pt idx="456">
                  <c:v>725.48458768110561</c:v>
                </c:pt>
                <c:pt idx="457">
                  <c:v>726.35488736086029</c:v>
                </c:pt>
                <c:pt idx="458">
                  <c:v>727.21874463325128</c:v>
                </c:pt>
                <c:pt idx="459">
                  <c:v>728.07618502875096</c:v>
                </c:pt>
                <c:pt idx="460">
                  <c:v>728.92723443984187</c:v>
                </c:pt>
                <c:pt idx="461">
                  <c:v>729.77191910950251</c:v>
                </c:pt>
                <c:pt idx="462">
                  <c:v>730.61026561983272</c:v>
                </c:pt>
                <c:pt idx="463">
                  <c:v>731.44230088082179</c:v>
                </c:pt>
                <c:pt idx="464">
                  <c:v>732.26805211925944</c:v>
                </c:pt>
                <c:pt idx="465">
                  <c:v>733.08754686779184</c:v>
                </c:pt>
                <c:pt idx="466">
                  <c:v>733.90081295412381</c:v>
                </c:pt>
                <c:pt idx="467">
                  <c:v>734.70787849036776</c:v>
                </c:pt>
                <c:pt idx="468">
                  <c:v>735.50877186254138</c:v>
                </c:pt>
                <c:pt idx="469">
                  <c:v>736.30352172021401</c:v>
                </c:pt>
                <c:pt idx="470">
                  <c:v>737.09215696630281</c:v>
                </c:pt>
                <c:pt idx="471">
                  <c:v>737.87470674701922</c:v>
                </c:pt>
                <c:pt idx="472">
                  <c:v>738.65120044196635</c:v>
                </c:pt>
                <c:pt idx="473">
                  <c:v>739.42166765438776</c:v>
                </c:pt>
                <c:pt idx="474">
                  <c:v>740.18613820156759</c:v>
                </c:pt>
                <c:pt idx="475">
                  <c:v>740.94464210538229</c:v>
                </c:pt>
                <c:pt idx="476">
                  <c:v>741.69720958300434</c:v>
                </c:pt>
                <c:pt idx="477">
                  <c:v>742.4438710377575</c:v>
                </c:pt>
                <c:pt idx="478">
                  <c:v>743.18465705012397</c:v>
                </c:pt>
                <c:pt idx="479">
                  <c:v>743.91959836890271</c:v>
                </c:pt>
                <c:pt idx="480">
                  <c:v>744.648725902519</c:v>
                </c:pt>
                <c:pt idx="481">
                  <c:v>745.37207071048465</c:v>
                </c:pt>
                <c:pt idx="482">
                  <c:v>746.08966399500878</c:v>
                </c:pt>
                <c:pt idx="483">
                  <c:v>746.80153709275805</c:v>
                </c:pt>
                <c:pt idx="484">
                  <c:v>747.50772146676627</c:v>
                </c:pt>
                <c:pt idx="485">
                  <c:v>748.20824869849264</c:v>
                </c:pt>
                <c:pt idx="486">
                  <c:v>748.90315048002719</c:v>
                </c:pt>
                <c:pt idx="487">
                  <c:v>749.5924586064441</c:v>
                </c:pt>
                <c:pt idx="488">
                  <c:v>750.27620496830025</c:v>
                </c:pt>
                <c:pt idx="489">
                  <c:v>750.9544215442794</c:v>
                </c:pt>
                <c:pt idx="490">
                  <c:v>751.62714039398065</c:v>
                </c:pt>
                <c:pt idx="491">
                  <c:v>752.29439365084988</c:v>
                </c:pt>
                <c:pt idx="492">
                  <c:v>752.95621351525358</c:v>
                </c:pt>
                <c:pt idx="493">
                  <c:v>753.61263224769323</c:v>
                </c:pt>
                <c:pt idx="494">
                  <c:v>754.26368216215997</c:v>
                </c:pt>
                <c:pt idx="495">
                  <c:v>754.90939561962773</c:v>
                </c:pt>
                <c:pt idx="496">
                  <c:v>755.54980502168405</c:v>
                </c:pt>
                <c:pt idx="497">
                  <c:v>756.18494280429627</c:v>
                </c:pt>
                <c:pt idx="498">
                  <c:v>756.81484143171326</c:v>
                </c:pt>
                <c:pt idx="499">
                  <c:v>757.43953339050051</c:v>
                </c:pt>
                <c:pt idx="500">
                  <c:v>758.05905118370697</c:v>
                </c:pt>
                <c:pt idx="501">
                  <c:v>758.67342732516261</c:v>
                </c:pt>
                <c:pt idx="502">
                  <c:v>759.28269433390585</c:v>
                </c:pt>
                <c:pt idx="503">
                  <c:v>759.88688472873787</c:v>
                </c:pt>
                <c:pt idx="504">
                  <c:v>760.48603102290406</c:v>
                </c:pt>
                <c:pt idx="505">
                  <c:v>761.08016571889971</c:v>
                </c:pt>
                <c:pt idx="506">
                  <c:v>761.66932130339944</c:v>
                </c:pt>
                <c:pt idx="507">
                  <c:v>762.25353024230833</c:v>
                </c:pt>
                <c:pt idx="508">
                  <c:v>762.83282497593314</c:v>
                </c:pt>
                <c:pt idx="509">
                  <c:v>763.40723791427251</c:v>
                </c:pt>
                <c:pt idx="510">
                  <c:v>763.97680143242405</c:v>
                </c:pt>
                <c:pt idx="511">
                  <c:v>764.54154786610718</c:v>
                </c:pt>
                <c:pt idx="512">
                  <c:v>765.10150950729985</c:v>
                </c:pt>
                <c:pt idx="513">
                  <c:v>765.65671859998781</c:v>
                </c:pt>
                <c:pt idx="514">
                  <c:v>766.20720733602457</c:v>
                </c:pt>
                <c:pt idx="515">
                  <c:v>766.75300785110051</c:v>
                </c:pt>
                <c:pt idx="516">
                  <c:v>767.29415222081957</c:v>
                </c:pt>
                <c:pt idx="517">
                  <c:v>767.83067245688233</c:v>
                </c:pt>
                <c:pt idx="518">
                  <c:v>768.36260050337285</c:v>
                </c:pt>
                <c:pt idx="519">
                  <c:v>768.88996823314881</c:v>
                </c:pt>
                <c:pt idx="520">
                  <c:v>769.41280744433277</c:v>
                </c:pt>
                <c:pt idx="521">
                  <c:v>769.93114985690261</c:v>
                </c:pt>
                <c:pt idx="522">
                  <c:v>770.44502710938048</c:v>
                </c:pt>
                <c:pt idx="523">
                  <c:v>770.95447075561776</c:v>
                </c:pt>
                <c:pt idx="524">
                  <c:v>771.4595122616754</c:v>
                </c:pt>
                <c:pt idx="525">
                  <c:v>771.96018300279638</c:v>
                </c:pt>
                <c:pt idx="526">
                  <c:v>772.45651426047129</c:v>
                </c:pt>
                <c:pt idx="527">
                  <c:v>772.94853721959271</c:v>
                </c:pt>
                <c:pt idx="528">
                  <c:v>773.43628296569898</c:v>
                </c:pt>
                <c:pt idx="529">
                  <c:v>773.9197824823043</c:v>
                </c:pt>
                <c:pt idx="530">
                  <c:v>774.39906664831483</c:v>
                </c:pt>
                <c:pt idx="531">
                  <c:v>774.87416623552872</c:v>
                </c:pt>
                <c:pt idx="532">
                  <c:v>775.34511190621765</c:v>
                </c:pt>
                <c:pt idx="533">
                  <c:v>775.81193421079058</c:v>
                </c:pt>
                <c:pt idx="534">
                  <c:v>776.2746635855359</c:v>
                </c:pt>
                <c:pt idx="535">
                  <c:v>776.73333035044186</c:v>
                </c:pt>
                <c:pt idx="536">
                  <c:v>777.18796470709344</c:v>
                </c:pt>
                <c:pt idx="537">
                  <c:v>777.6385967366441</c:v>
                </c:pt>
                <c:pt idx="538">
                  <c:v>778.08525639786137</c:v>
                </c:pt>
                <c:pt idx="539">
                  <c:v>778.52797352524431</c:v>
                </c:pt>
                <c:pt idx="540">
                  <c:v>778.96677782721144</c:v>
                </c:pt>
                <c:pt idx="541">
                  <c:v>779.40169888435867</c:v>
                </c:pt>
                <c:pt idx="542">
                  <c:v>779.83276614778447</c:v>
                </c:pt>
                <c:pt idx="543">
                  <c:v>780.26000893748198</c:v>
                </c:pt>
                <c:pt idx="544">
                  <c:v>780.68345644079625</c:v>
                </c:pt>
                <c:pt idx="545">
                  <c:v>781.10313771094536</c:v>
                </c:pt>
                <c:pt idx="546">
                  <c:v>781.51908166560372</c:v>
                </c:pt>
                <c:pt idx="547">
                  <c:v>781.93131708554722</c:v>
                </c:pt>
                <c:pt idx="548">
                  <c:v>782.33987261335801</c:v>
                </c:pt>
                <c:pt idx="549">
                  <c:v>782.74477675218793</c:v>
                </c:pt>
                <c:pt idx="550">
                  <c:v>783.14605786457923</c:v>
                </c:pt>
                <c:pt idx="551">
                  <c:v>783.54374417134204</c:v>
                </c:pt>
                <c:pt idx="552">
                  <c:v>783.93786375048592</c:v>
                </c:pt>
                <c:pt idx="553">
                  <c:v>784.32844453620601</c:v>
                </c:pt>
                <c:pt idx="554">
                  <c:v>784.71551431792113</c:v>
                </c:pt>
                <c:pt idx="555">
                  <c:v>785.09910073936362</c:v>
                </c:pt>
                <c:pt idx="556">
                  <c:v>785.47923129771914</c:v>
                </c:pt>
                <c:pt idx="557">
                  <c:v>785.85593334281589</c:v>
                </c:pt>
                <c:pt idx="558">
                  <c:v>786.22923407636142</c:v>
                </c:pt>
                <c:pt idx="559">
                  <c:v>786.59916055122665</c:v>
                </c:pt>
                <c:pt idx="560">
                  <c:v>786.96573967077529</c:v>
                </c:pt>
                <c:pt idx="561">
                  <c:v>787.32899818823842</c:v>
                </c:pt>
                <c:pt idx="562">
                  <c:v>787.68896270613232</c:v>
                </c:pt>
                <c:pt idx="563">
                  <c:v>788.04565967571909</c:v>
                </c:pt>
                <c:pt idx="564">
                  <c:v>788.39911539650871</c:v>
                </c:pt>
                <c:pt idx="565">
                  <c:v>788.74935601580182</c:v>
                </c:pt>
                <c:pt idx="566">
                  <c:v>789.09640752827227</c:v>
                </c:pt>
                <c:pt idx="567">
                  <c:v>789.44029577558786</c:v>
                </c:pt>
                <c:pt idx="568">
                  <c:v>789.7810464460689</c:v>
                </c:pt>
                <c:pt idx="569">
                  <c:v>790.11868507438362</c:v>
                </c:pt>
                <c:pt idx="570">
                  <c:v>790.45323704127952</c:v>
                </c:pt>
                <c:pt idx="571">
                  <c:v>790.78472757334896</c:v>
                </c:pt>
                <c:pt idx="572">
                  <c:v>791.11318174282951</c:v>
                </c:pt>
                <c:pt idx="573">
                  <c:v>791.43862446743719</c:v>
                </c:pt>
                <c:pt idx="574">
                  <c:v>791.76108051023141</c:v>
                </c:pt>
                <c:pt idx="575">
                  <c:v>792.08057447951217</c:v>
                </c:pt>
                <c:pt idx="576">
                  <c:v>792.39713082874744</c:v>
                </c:pt>
                <c:pt idx="577">
                  <c:v>792.71077385653018</c:v>
                </c:pt>
                <c:pt idx="578">
                  <c:v>793.02152770656483</c:v>
                </c:pt>
                <c:pt idx="579">
                  <c:v>793.32941636768101</c:v>
                </c:pt>
                <c:pt idx="580">
                  <c:v>793.6344636738761</c:v>
                </c:pt>
                <c:pt idx="581">
                  <c:v>793.93669330438297</c:v>
                </c:pt>
                <c:pt idx="582">
                  <c:v>794.2361287837648</c:v>
                </c:pt>
                <c:pt idx="583">
                  <c:v>794.53279348203432</c:v>
                </c:pt>
                <c:pt idx="584">
                  <c:v>794.82671061479789</c:v>
                </c:pt>
                <c:pt idx="585">
                  <c:v>795.11790324342348</c:v>
                </c:pt>
                <c:pt idx="586">
                  <c:v>795.40639427523138</c:v>
                </c:pt>
                <c:pt idx="587">
                  <c:v>795.69220646370752</c:v>
                </c:pt>
                <c:pt idx="588">
                  <c:v>795.97536240873876</c:v>
                </c:pt>
                <c:pt idx="589">
                  <c:v>796.25588455686886</c:v>
                </c:pt>
                <c:pt idx="590">
                  <c:v>796.53379520157546</c:v>
                </c:pt>
                <c:pt idx="591">
                  <c:v>796.80911648356641</c:v>
                </c:pt>
                <c:pt idx="592">
                  <c:v>797.08187039109589</c:v>
                </c:pt>
                <c:pt idx="593">
                  <c:v>797.35207876029847</c:v>
                </c:pt>
                <c:pt idx="594">
                  <c:v>797.61976327554214</c:v>
                </c:pt>
                <c:pt idx="595">
                  <c:v>797.88494546979837</c:v>
                </c:pt>
                <c:pt idx="596">
                  <c:v>798.14764672502918</c:v>
                </c:pt>
                <c:pt idx="597">
                  <c:v>798.40788827259041</c:v>
                </c:pt>
                <c:pt idx="598">
                  <c:v>798.66569119365136</c:v>
                </c:pt>
                <c:pt idx="599">
                  <c:v>798.92107641962957</c:v>
                </c:pt>
                <c:pt idx="600">
                  <c:v>799.17406473264032</c:v>
                </c:pt>
                <c:pt idx="601">
                  <c:v>799.4246767659605</c:v>
                </c:pt>
                <c:pt idx="602">
                  <c:v>799.6729330045066</c:v>
                </c:pt>
                <c:pt idx="603">
                  <c:v>799.91885378532572</c:v>
                </c:pt>
                <c:pt idx="604">
                  <c:v>800.16245929809986</c:v>
                </c:pt>
                <c:pt idx="605">
                  <c:v>800.40376958566219</c:v>
                </c:pt>
                <c:pt idx="606">
                  <c:v>800.64280454452592</c:v>
                </c:pt>
                <c:pt idx="607">
                  <c:v>800.87958392542419</c:v>
                </c:pt>
                <c:pt idx="608">
                  <c:v>801.11412733386157</c:v>
                </c:pt>
                <c:pt idx="609">
                  <c:v>801.34645423067582</c:v>
                </c:pt>
                <c:pt idx="610">
                  <c:v>801.57658393261033</c:v>
                </c:pt>
                <c:pt idx="611">
                  <c:v>801.80453561289642</c:v>
                </c:pt>
                <c:pt idx="612">
                  <c:v>802.03032830184475</c:v>
                </c:pt>
                <c:pt idx="613">
                  <c:v>802.25398088744657</c:v>
                </c:pt>
                <c:pt idx="614">
                  <c:v>802.47551211598341</c:v>
                </c:pt>
                <c:pt idx="615">
                  <c:v>802.6949405926448</c:v>
                </c:pt>
                <c:pt idx="616">
                  <c:v>802.91228478215476</c:v>
                </c:pt>
                <c:pt idx="617">
                  <c:v>803.12756300940543</c:v>
                </c:pt>
                <c:pt idx="618">
                  <c:v>803.34079346009855</c:v>
                </c:pt>
                <c:pt idx="619">
                  <c:v>803.55199418139341</c:v>
                </c:pt>
                <c:pt idx="620">
                  <c:v>803.76118308256196</c:v>
                </c:pt>
                <c:pt idx="621">
                  <c:v>803.96837793565021</c:v>
                </c:pt>
                <c:pt idx="622">
                  <c:v>804.17359637614584</c:v>
                </c:pt>
                <c:pt idx="623">
                  <c:v>804.37685590365118</c:v>
                </c:pt>
                <c:pt idx="624">
                  <c:v>804.57817388256228</c:v>
                </c:pt>
                <c:pt idx="625">
                  <c:v>804.77756754275288</c:v>
                </c:pt>
                <c:pt idx="626">
                  <c:v>804.97505398026328</c:v>
                </c:pt>
                <c:pt idx="627">
                  <c:v>805.17065015799415</c:v>
                </c:pt>
                <c:pt idx="628">
                  <c:v>805.36437290640424</c:v>
                </c:pt>
                <c:pt idx="629">
                  <c:v>805.55623892421318</c:v>
                </c:pt>
                <c:pt idx="630">
                  <c:v>805.74626477910704</c:v>
                </c:pt>
                <c:pt idx="631">
                  <c:v>805.93446690844837</c:v>
                </c:pt>
                <c:pt idx="632">
                  <c:v>806.12086161998957</c:v>
                </c:pt>
                <c:pt idx="633">
                  <c:v>806.30546509258909</c:v>
                </c:pt>
                <c:pt idx="634">
                  <c:v>806.48829337693076</c:v>
                </c:pt>
                <c:pt idx="635">
                  <c:v>806.66936239624613</c:v>
                </c:pt>
                <c:pt idx="636">
                  <c:v>806.84868794703902</c:v>
                </c:pt>
                <c:pt idx="637">
                  <c:v>807.02628569981266</c:v>
                </c:pt>
                <c:pt idx="638">
                  <c:v>807.20217119979839</c:v>
                </c:pt>
                <c:pt idx="639">
                  <c:v>807.37635986768726</c:v>
                </c:pt>
                <c:pt idx="640">
                  <c:v>807.54886700036252</c:v>
                </c:pt>
                <c:pt idx="641">
                  <c:v>807.71970777163403</c:v>
                </c:pt>
                <c:pt idx="642">
                  <c:v>807.88889723297405</c:v>
                </c:pt>
                <c:pt idx="643">
                  <c:v>808.05645031425388</c:v>
                </c:pt>
                <c:pt idx="644">
                  <c:v>808.22238182448223</c:v>
                </c:pt>
                <c:pt idx="645">
                  <c:v>808.38670645254354</c:v>
                </c:pt>
                <c:pt idx="646">
                  <c:v>808.54943876793777</c:v>
                </c:pt>
                <c:pt idx="647">
                  <c:v>808.7105932215203</c:v>
                </c:pt>
                <c:pt idx="648">
                  <c:v>808.87018414624242</c:v>
                </c:pt>
                <c:pt idx="649">
                  <c:v>809.02822575789196</c:v>
                </c:pt>
                <c:pt idx="650">
                  <c:v>809.18473215583379</c:v>
                </c:pt>
                <c:pt idx="651">
                  <c:v>809.33971732375096</c:v>
                </c:pt>
                <c:pt idx="652">
                  <c:v>809.49319513038461</c:v>
                </c:pt>
                <c:pt idx="653">
                  <c:v>809.6451793302748</c:v>
                </c:pt>
                <c:pt idx="654">
                  <c:v>809.6451793302748</c:v>
                </c:pt>
                <c:pt idx="655">
                  <c:v>809.6451793302748</c:v>
                </c:pt>
                <c:pt idx="656">
                  <c:v>809.6451793302748</c:v>
                </c:pt>
                <c:pt idx="657">
                  <c:v>809.6451793302748</c:v>
                </c:pt>
                <c:pt idx="658">
                  <c:v>809.6451793302748</c:v>
                </c:pt>
                <c:pt idx="659">
                  <c:v>809.6451793302748</c:v>
                </c:pt>
                <c:pt idx="660">
                  <c:v>809.6451793302748</c:v>
                </c:pt>
                <c:pt idx="661">
                  <c:v>809.6451793302748</c:v>
                </c:pt>
                <c:pt idx="662">
                  <c:v>809.6451793302748</c:v>
                </c:pt>
                <c:pt idx="663">
                  <c:v>809.6451793302748</c:v>
                </c:pt>
                <c:pt idx="664">
                  <c:v>809.6451793302748</c:v>
                </c:pt>
                <c:pt idx="665">
                  <c:v>809.6451793302748</c:v>
                </c:pt>
                <c:pt idx="666">
                  <c:v>809.6451793302748</c:v>
                </c:pt>
                <c:pt idx="667">
                  <c:v>809.6451793302748</c:v>
                </c:pt>
                <c:pt idx="668">
                  <c:v>809.6451793302748</c:v>
                </c:pt>
                <c:pt idx="669">
                  <c:v>809.6451793302748</c:v>
                </c:pt>
                <c:pt idx="670">
                  <c:v>809.6451793302748</c:v>
                </c:pt>
                <c:pt idx="671">
                  <c:v>809.6451793302748</c:v>
                </c:pt>
                <c:pt idx="672">
                  <c:v>809.6451793302748</c:v>
                </c:pt>
                <c:pt idx="673">
                  <c:v>809.6451793302748</c:v>
                </c:pt>
                <c:pt idx="674">
                  <c:v>809.6451793302748</c:v>
                </c:pt>
                <c:pt idx="675">
                  <c:v>809.6451793302748</c:v>
                </c:pt>
                <c:pt idx="676">
                  <c:v>809.6451793302748</c:v>
                </c:pt>
                <c:pt idx="677">
                  <c:v>809.6451793302748</c:v>
                </c:pt>
                <c:pt idx="678">
                  <c:v>809.6451793302748</c:v>
                </c:pt>
                <c:pt idx="679">
                  <c:v>809.6451793302748</c:v>
                </c:pt>
                <c:pt idx="680">
                  <c:v>809.6451793302748</c:v>
                </c:pt>
                <c:pt idx="681">
                  <c:v>809.6451793302748</c:v>
                </c:pt>
                <c:pt idx="682">
                  <c:v>809.6451793302748</c:v>
                </c:pt>
                <c:pt idx="683">
                  <c:v>809.6451793302748</c:v>
                </c:pt>
                <c:pt idx="684">
                  <c:v>809.6451793302748</c:v>
                </c:pt>
                <c:pt idx="685">
                  <c:v>809.6451793302748</c:v>
                </c:pt>
                <c:pt idx="686">
                  <c:v>809.6451793302748</c:v>
                </c:pt>
                <c:pt idx="687">
                  <c:v>809.6451793302748</c:v>
                </c:pt>
                <c:pt idx="688">
                  <c:v>809.6451793302748</c:v>
                </c:pt>
                <c:pt idx="689">
                  <c:v>809.6451793302748</c:v>
                </c:pt>
                <c:pt idx="690">
                  <c:v>809.6451793302748</c:v>
                </c:pt>
                <c:pt idx="691">
                  <c:v>809.6451793302748</c:v>
                </c:pt>
                <c:pt idx="692">
                  <c:v>809.6451793302748</c:v>
                </c:pt>
                <c:pt idx="693">
                  <c:v>809.6451793302748</c:v>
                </c:pt>
                <c:pt idx="694">
                  <c:v>809.6451793302748</c:v>
                </c:pt>
                <c:pt idx="695">
                  <c:v>809.6451793302748</c:v>
                </c:pt>
                <c:pt idx="696">
                  <c:v>809.6451793302748</c:v>
                </c:pt>
                <c:pt idx="697">
                  <c:v>809.6451793302748</c:v>
                </c:pt>
                <c:pt idx="698">
                  <c:v>809.6451793302748</c:v>
                </c:pt>
                <c:pt idx="699">
                  <c:v>809.6451793302748</c:v>
                </c:pt>
                <c:pt idx="700">
                  <c:v>809.6451793302748</c:v>
                </c:pt>
                <c:pt idx="701">
                  <c:v>809.6451793302748</c:v>
                </c:pt>
                <c:pt idx="702">
                  <c:v>809.6451793302748</c:v>
                </c:pt>
                <c:pt idx="703">
                  <c:v>809.6451793302748</c:v>
                </c:pt>
                <c:pt idx="704">
                  <c:v>809.6451793302748</c:v>
                </c:pt>
                <c:pt idx="705">
                  <c:v>809.6451793302748</c:v>
                </c:pt>
                <c:pt idx="706">
                  <c:v>809.6451793302748</c:v>
                </c:pt>
                <c:pt idx="707">
                  <c:v>809.6451793302748</c:v>
                </c:pt>
                <c:pt idx="708">
                  <c:v>809.6451793302748</c:v>
                </c:pt>
                <c:pt idx="709">
                  <c:v>809.6451793302748</c:v>
                </c:pt>
                <c:pt idx="710">
                  <c:v>809.6451793302748</c:v>
                </c:pt>
                <c:pt idx="711">
                  <c:v>809.6451793302748</c:v>
                </c:pt>
                <c:pt idx="712">
                  <c:v>809.6451793302748</c:v>
                </c:pt>
                <c:pt idx="713">
                  <c:v>809.6451793302748</c:v>
                </c:pt>
                <c:pt idx="714">
                  <c:v>809.6451793302748</c:v>
                </c:pt>
                <c:pt idx="715">
                  <c:v>809.6451793302748</c:v>
                </c:pt>
                <c:pt idx="716">
                  <c:v>809.6451793302748</c:v>
                </c:pt>
                <c:pt idx="717">
                  <c:v>809.6451793302748</c:v>
                </c:pt>
                <c:pt idx="718">
                  <c:v>809.6451793302748</c:v>
                </c:pt>
                <c:pt idx="719">
                  <c:v>809.6451793302748</c:v>
                </c:pt>
                <c:pt idx="720">
                  <c:v>809.6451793302748</c:v>
                </c:pt>
                <c:pt idx="721">
                  <c:v>809.6451793302748</c:v>
                </c:pt>
                <c:pt idx="722">
                  <c:v>809.6451793302748</c:v>
                </c:pt>
                <c:pt idx="723">
                  <c:v>809.6451793302748</c:v>
                </c:pt>
                <c:pt idx="724">
                  <c:v>809.6451793302748</c:v>
                </c:pt>
                <c:pt idx="725">
                  <c:v>809.6451793302748</c:v>
                </c:pt>
                <c:pt idx="726">
                  <c:v>809.6451793302748</c:v>
                </c:pt>
                <c:pt idx="727">
                  <c:v>809.6451793302748</c:v>
                </c:pt>
                <c:pt idx="728">
                  <c:v>809.6451793302748</c:v>
                </c:pt>
                <c:pt idx="729">
                  <c:v>809.6451793302748</c:v>
                </c:pt>
                <c:pt idx="730">
                  <c:v>809.6451793302748</c:v>
                </c:pt>
                <c:pt idx="731">
                  <c:v>809.6451793302748</c:v>
                </c:pt>
                <c:pt idx="732">
                  <c:v>809.6451793302748</c:v>
                </c:pt>
                <c:pt idx="733">
                  <c:v>809.6451793302748</c:v>
                </c:pt>
                <c:pt idx="734">
                  <c:v>809.6451793302748</c:v>
                </c:pt>
                <c:pt idx="735">
                  <c:v>809.6451793302748</c:v>
                </c:pt>
                <c:pt idx="736">
                  <c:v>809.6451793302748</c:v>
                </c:pt>
                <c:pt idx="737">
                  <c:v>809.6451793302748</c:v>
                </c:pt>
                <c:pt idx="738">
                  <c:v>809.6451793302748</c:v>
                </c:pt>
                <c:pt idx="739">
                  <c:v>809.6451793302748</c:v>
                </c:pt>
                <c:pt idx="740">
                  <c:v>809.6451793302748</c:v>
                </c:pt>
                <c:pt idx="741">
                  <c:v>809.6451793302748</c:v>
                </c:pt>
                <c:pt idx="742">
                  <c:v>809.6451793302748</c:v>
                </c:pt>
                <c:pt idx="743">
                  <c:v>809.6451793302748</c:v>
                </c:pt>
                <c:pt idx="744">
                  <c:v>809.6451793302748</c:v>
                </c:pt>
                <c:pt idx="745">
                  <c:v>809.6451793302748</c:v>
                </c:pt>
                <c:pt idx="746">
                  <c:v>809.6451793302748</c:v>
                </c:pt>
                <c:pt idx="747">
                  <c:v>809.6451793302748</c:v>
                </c:pt>
                <c:pt idx="748">
                  <c:v>809.6451793302748</c:v>
                </c:pt>
                <c:pt idx="749">
                  <c:v>809.6451793302748</c:v>
                </c:pt>
                <c:pt idx="750">
                  <c:v>809.6451793302748</c:v>
                </c:pt>
                <c:pt idx="751">
                  <c:v>809.6451793302748</c:v>
                </c:pt>
                <c:pt idx="752">
                  <c:v>809.6451793302748</c:v>
                </c:pt>
                <c:pt idx="753">
                  <c:v>809.6451793302748</c:v>
                </c:pt>
                <c:pt idx="754">
                  <c:v>809.6451793302748</c:v>
                </c:pt>
                <c:pt idx="755">
                  <c:v>809.6451793302748</c:v>
                </c:pt>
                <c:pt idx="756">
                  <c:v>809.6451793302748</c:v>
                </c:pt>
                <c:pt idx="757">
                  <c:v>809.6451793302748</c:v>
                </c:pt>
                <c:pt idx="758">
                  <c:v>809.6451793302748</c:v>
                </c:pt>
                <c:pt idx="759">
                  <c:v>809.6451793302748</c:v>
                </c:pt>
                <c:pt idx="760">
                  <c:v>809.6451793302748</c:v>
                </c:pt>
                <c:pt idx="761">
                  <c:v>809.6451793302748</c:v>
                </c:pt>
                <c:pt idx="762">
                  <c:v>809.6451793302748</c:v>
                </c:pt>
                <c:pt idx="763">
                  <c:v>809.6451793302748</c:v>
                </c:pt>
                <c:pt idx="764">
                  <c:v>809.6451793302748</c:v>
                </c:pt>
                <c:pt idx="765">
                  <c:v>809.6451793302748</c:v>
                </c:pt>
                <c:pt idx="766">
                  <c:v>809.6451793302748</c:v>
                </c:pt>
                <c:pt idx="767">
                  <c:v>809.6451793302748</c:v>
                </c:pt>
                <c:pt idx="768">
                  <c:v>809.6451793302748</c:v>
                </c:pt>
                <c:pt idx="769">
                  <c:v>809.6451793302748</c:v>
                </c:pt>
                <c:pt idx="770">
                  <c:v>809.6451793302748</c:v>
                </c:pt>
                <c:pt idx="771">
                  <c:v>809.6451793302748</c:v>
                </c:pt>
                <c:pt idx="772">
                  <c:v>809.6451793302748</c:v>
                </c:pt>
                <c:pt idx="773">
                  <c:v>809.6451793302748</c:v>
                </c:pt>
                <c:pt idx="774">
                  <c:v>809.6451793302748</c:v>
                </c:pt>
                <c:pt idx="775">
                  <c:v>809.6451793302748</c:v>
                </c:pt>
                <c:pt idx="776">
                  <c:v>809.6451793302748</c:v>
                </c:pt>
                <c:pt idx="777">
                  <c:v>809.6451793302748</c:v>
                </c:pt>
                <c:pt idx="778">
                  <c:v>809.6451793302748</c:v>
                </c:pt>
                <c:pt idx="779">
                  <c:v>809.6451793302748</c:v>
                </c:pt>
                <c:pt idx="780">
                  <c:v>809.6451793302748</c:v>
                </c:pt>
                <c:pt idx="781">
                  <c:v>809.6451793302748</c:v>
                </c:pt>
                <c:pt idx="782">
                  <c:v>809.6451793302748</c:v>
                </c:pt>
                <c:pt idx="783">
                  <c:v>809.6451793302748</c:v>
                </c:pt>
                <c:pt idx="784">
                  <c:v>809.6451793302748</c:v>
                </c:pt>
                <c:pt idx="785">
                  <c:v>809.6451793302748</c:v>
                </c:pt>
                <c:pt idx="786">
                  <c:v>809.6451793302748</c:v>
                </c:pt>
                <c:pt idx="787">
                  <c:v>809.6451793302748</c:v>
                </c:pt>
                <c:pt idx="788">
                  <c:v>809.6451793302748</c:v>
                </c:pt>
                <c:pt idx="789">
                  <c:v>809.6451793302748</c:v>
                </c:pt>
                <c:pt idx="790">
                  <c:v>809.6451793302748</c:v>
                </c:pt>
                <c:pt idx="791">
                  <c:v>809.6451793302748</c:v>
                </c:pt>
                <c:pt idx="792">
                  <c:v>809.6451793302748</c:v>
                </c:pt>
                <c:pt idx="793">
                  <c:v>809.6451793302748</c:v>
                </c:pt>
                <c:pt idx="794">
                  <c:v>809.6451793302748</c:v>
                </c:pt>
                <c:pt idx="795">
                  <c:v>809.6451793302748</c:v>
                </c:pt>
                <c:pt idx="796">
                  <c:v>809.6451793302748</c:v>
                </c:pt>
                <c:pt idx="797">
                  <c:v>809.6451793302748</c:v>
                </c:pt>
                <c:pt idx="798">
                  <c:v>809.6451793302748</c:v>
                </c:pt>
                <c:pt idx="799">
                  <c:v>809.6451793302748</c:v>
                </c:pt>
                <c:pt idx="800">
                  <c:v>809.6451793302748</c:v>
                </c:pt>
                <c:pt idx="801">
                  <c:v>809.6451793302748</c:v>
                </c:pt>
                <c:pt idx="802">
                  <c:v>809.6451793302748</c:v>
                </c:pt>
                <c:pt idx="803">
                  <c:v>809.6451793302748</c:v>
                </c:pt>
                <c:pt idx="804">
                  <c:v>809.6451793302748</c:v>
                </c:pt>
                <c:pt idx="805">
                  <c:v>809.6451793302748</c:v>
                </c:pt>
                <c:pt idx="806">
                  <c:v>809.6451793302748</c:v>
                </c:pt>
                <c:pt idx="807">
                  <c:v>809.6451793302748</c:v>
                </c:pt>
                <c:pt idx="808">
                  <c:v>809.6451793302748</c:v>
                </c:pt>
                <c:pt idx="809">
                  <c:v>809.6451793302748</c:v>
                </c:pt>
                <c:pt idx="810">
                  <c:v>809.6451793302748</c:v>
                </c:pt>
                <c:pt idx="811">
                  <c:v>809.6451793302748</c:v>
                </c:pt>
                <c:pt idx="812">
                  <c:v>809.6451793302748</c:v>
                </c:pt>
                <c:pt idx="813">
                  <c:v>809.6451793302748</c:v>
                </c:pt>
                <c:pt idx="814">
                  <c:v>809.6451793302748</c:v>
                </c:pt>
                <c:pt idx="815">
                  <c:v>809.6451793302748</c:v>
                </c:pt>
                <c:pt idx="816">
                  <c:v>809.6451793302748</c:v>
                </c:pt>
                <c:pt idx="817">
                  <c:v>809.6451793302748</c:v>
                </c:pt>
                <c:pt idx="818">
                  <c:v>809.6451793302748</c:v>
                </c:pt>
                <c:pt idx="819">
                  <c:v>809.6451793302748</c:v>
                </c:pt>
                <c:pt idx="820">
                  <c:v>809.6451793302748</c:v>
                </c:pt>
                <c:pt idx="821">
                  <c:v>809.6451793302748</c:v>
                </c:pt>
                <c:pt idx="822">
                  <c:v>809.6451793302748</c:v>
                </c:pt>
                <c:pt idx="823">
                  <c:v>809.6451793302748</c:v>
                </c:pt>
                <c:pt idx="824">
                  <c:v>809.6451793302748</c:v>
                </c:pt>
                <c:pt idx="825">
                  <c:v>809.6451793302748</c:v>
                </c:pt>
                <c:pt idx="826">
                  <c:v>809.6451793302748</c:v>
                </c:pt>
                <c:pt idx="827">
                  <c:v>809.6451793302748</c:v>
                </c:pt>
                <c:pt idx="828">
                  <c:v>809.6451793302748</c:v>
                </c:pt>
                <c:pt idx="829">
                  <c:v>809.6451793302748</c:v>
                </c:pt>
                <c:pt idx="830">
                  <c:v>809.6451793302748</c:v>
                </c:pt>
                <c:pt idx="831">
                  <c:v>809.6451793302748</c:v>
                </c:pt>
                <c:pt idx="832">
                  <c:v>809.6451793302748</c:v>
                </c:pt>
                <c:pt idx="833">
                  <c:v>809.6451793302748</c:v>
                </c:pt>
                <c:pt idx="834">
                  <c:v>809.6451793302748</c:v>
                </c:pt>
                <c:pt idx="835">
                  <c:v>809.6451793302748</c:v>
                </c:pt>
                <c:pt idx="836">
                  <c:v>809.6451793302748</c:v>
                </c:pt>
                <c:pt idx="837">
                  <c:v>809.6451793302748</c:v>
                </c:pt>
                <c:pt idx="838">
                  <c:v>809.6451793302748</c:v>
                </c:pt>
                <c:pt idx="839">
                  <c:v>809.6451793302748</c:v>
                </c:pt>
                <c:pt idx="840">
                  <c:v>809.6451793302748</c:v>
                </c:pt>
                <c:pt idx="841">
                  <c:v>809.6451793302748</c:v>
                </c:pt>
                <c:pt idx="842">
                  <c:v>809.6451793302748</c:v>
                </c:pt>
                <c:pt idx="843">
                  <c:v>809.6451793302748</c:v>
                </c:pt>
                <c:pt idx="844">
                  <c:v>809.6451793302748</c:v>
                </c:pt>
                <c:pt idx="845">
                  <c:v>809.6451793302748</c:v>
                </c:pt>
                <c:pt idx="846">
                  <c:v>809.6451793302748</c:v>
                </c:pt>
                <c:pt idx="847">
                  <c:v>809.6451793302748</c:v>
                </c:pt>
                <c:pt idx="848">
                  <c:v>809.6451793302748</c:v>
                </c:pt>
                <c:pt idx="849">
                  <c:v>809.6451793302748</c:v>
                </c:pt>
                <c:pt idx="850">
                  <c:v>809.6451793302748</c:v>
                </c:pt>
                <c:pt idx="851">
                  <c:v>809.6451793302748</c:v>
                </c:pt>
                <c:pt idx="852">
                  <c:v>809.6451793302748</c:v>
                </c:pt>
                <c:pt idx="853">
                  <c:v>809.6451793302748</c:v>
                </c:pt>
                <c:pt idx="854">
                  <c:v>809.6451793302748</c:v>
                </c:pt>
                <c:pt idx="855">
                  <c:v>809.6451793302748</c:v>
                </c:pt>
                <c:pt idx="856">
                  <c:v>809.6451793302748</c:v>
                </c:pt>
                <c:pt idx="857">
                  <c:v>809.6451793302748</c:v>
                </c:pt>
                <c:pt idx="858">
                  <c:v>809.6451793302748</c:v>
                </c:pt>
                <c:pt idx="859">
                  <c:v>809.6451793302748</c:v>
                </c:pt>
                <c:pt idx="860">
                  <c:v>809.6451793302748</c:v>
                </c:pt>
                <c:pt idx="861">
                  <c:v>809.6451793302748</c:v>
                </c:pt>
                <c:pt idx="862">
                  <c:v>809.6451793302748</c:v>
                </c:pt>
                <c:pt idx="863">
                  <c:v>809.6451793302748</c:v>
                </c:pt>
                <c:pt idx="864">
                  <c:v>809.6451793302748</c:v>
                </c:pt>
                <c:pt idx="865">
                  <c:v>809.6451793302748</c:v>
                </c:pt>
                <c:pt idx="866">
                  <c:v>809.6451793302748</c:v>
                </c:pt>
                <c:pt idx="867">
                  <c:v>809.6451793302748</c:v>
                </c:pt>
                <c:pt idx="868">
                  <c:v>809.6451793302748</c:v>
                </c:pt>
                <c:pt idx="869">
                  <c:v>809.6451793302748</c:v>
                </c:pt>
                <c:pt idx="870">
                  <c:v>809.6451793302748</c:v>
                </c:pt>
                <c:pt idx="871">
                  <c:v>809.6451793302748</c:v>
                </c:pt>
                <c:pt idx="872">
                  <c:v>809.6451793302748</c:v>
                </c:pt>
                <c:pt idx="873">
                  <c:v>809.6451793302748</c:v>
                </c:pt>
                <c:pt idx="874">
                  <c:v>809.6451793302748</c:v>
                </c:pt>
                <c:pt idx="875">
                  <c:v>809.6451793302748</c:v>
                </c:pt>
                <c:pt idx="876">
                  <c:v>809.6451793302748</c:v>
                </c:pt>
                <c:pt idx="877">
                  <c:v>809.6451793302748</c:v>
                </c:pt>
                <c:pt idx="878">
                  <c:v>809.6451793302748</c:v>
                </c:pt>
                <c:pt idx="879">
                  <c:v>809.6451793302748</c:v>
                </c:pt>
                <c:pt idx="880">
                  <c:v>809.6451793302748</c:v>
                </c:pt>
                <c:pt idx="881">
                  <c:v>809.6451793302748</c:v>
                </c:pt>
                <c:pt idx="882">
                  <c:v>809.6451793302748</c:v>
                </c:pt>
                <c:pt idx="883">
                  <c:v>809.6451793302748</c:v>
                </c:pt>
                <c:pt idx="884">
                  <c:v>809.6451793302748</c:v>
                </c:pt>
                <c:pt idx="885">
                  <c:v>809.6451793302748</c:v>
                </c:pt>
                <c:pt idx="886">
                  <c:v>809.6451793302748</c:v>
                </c:pt>
                <c:pt idx="887">
                  <c:v>809.6451793302748</c:v>
                </c:pt>
                <c:pt idx="888">
                  <c:v>809.6451793302748</c:v>
                </c:pt>
                <c:pt idx="889">
                  <c:v>809.6451793302748</c:v>
                </c:pt>
                <c:pt idx="890">
                  <c:v>809.6451793302748</c:v>
                </c:pt>
                <c:pt idx="891">
                  <c:v>809.6451793302748</c:v>
                </c:pt>
                <c:pt idx="892">
                  <c:v>809.6451793302748</c:v>
                </c:pt>
                <c:pt idx="893">
                  <c:v>809.6451793302748</c:v>
                </c:pt>
                <c:pt idx="894">
                  <c:v>809.6451793302748</c:v>
                </c:pt>
                <c:pt idx="895">
                  <c:v>809.6451793302748</c:v>
                </c:pt>
                <c:pt idx="896">
                  <c:v>809.6451793302748</c:v>
                </c:pt>
                <c:pt idx="897">
                  <c:v>809.6451793302748</c:v>
                </c:pt>
                <c:pt idx="898">
                  <c:v>809.6451793302748</c:v>
                </c:pt>
                <c:pt idx="899">
                  <c:v>809.6451793302748</c:v>
                </c:pt>
                <c:pt idx="900">
                  <c:v>809.6451793302748</c:v>
                </c:pt>
                <c:pt idx="901">
                  <c:v>809.6451793302748</c:v>
                </c:pt>
                <c:pt idx="902">
                  <c:v>809.6451793302748</c:v>
                </c:pt>
                <c:pt idx="903">
                  <c:v>809.6451793302748</c:v>
                </c:pt>
                <c:pt idx="904">
                  <c:v>809.6451793302748</c:v>
                </c:pt>
                <c:pt idx="905">
                  <c:v>809.6451793302748</c:v>
                </c:pt>
                <c:pt idx="906">
                  <c:v>809.6451793302748</c:v>
                </c:pt>
                <c:pt idx="907">
                  <c:v>809.6451793302748</c:v>
                </c:pt>
                <c:pt idx="908">
                  <c:v>809.6451793302748</c:v>
                </c:pt>
                <c:pt idx="909">
                  <c:v>809.6451793302748</c:v>
                </c:pt>
                <c:pt idx="910">
                  <c:v>809.6451793302748</c:v>
                </c:pt>
                <c:pt idx="911">
                  <c:v>809.6451793302748</c:v>
                </c:pt>
                <c:pt idx="912">
                  <c:v>809.6451793302748</c:v>
                </c:pt>
                <c:pt idx="913">
                  <c:v>809.6451793302748</c:v>
                </c:pt>
                <c:pt idx="914">
                  <c:v>809.6451793302748</c:v>
                </c:pt>
                <c:pt idx="915">
                  <c:v>809.6451793302748</c:v>
                </c:pt>
                <c:pt idx="916">
                  <c:v>809.6451793302748</c:v>
                </c:pt>
                <c:pt idx="917">
                  <c:v>809.6451793302748</c:v>
                </c:pt>
                <c:pt idx="918">
                  <c:v>809.6451793302748</c:v>
                </c:pt>
                <c:pt idx="919">
                  <c:v>809.6451793302748</c:v>
                </c:pt>
                <c:pt idx="920">
                  <c:v>809.6451793302748</c:v>
                </c:pt>
                <c:pt idx="921">
                  <c:v>809.6451793302748</c:v>
                </c:pt>
                <c:pt idx="922">
                  <c:v>809.6451793302748</c:v>
                </c:pt>
                <c:pt idx="923">
                  <c:v>809.6451793302748</c:v>
                </c:pt>
                <c:pt idx="924">
                  <c:v>809.6451793302748</c:v>
                </c:pt>
                <c:pt idx="925">
                  <c:v>809.6451793302748</c:v>
                </c:pt>
                <c:pt idx="926">
                  <c:v>809.6451793302748</c:v>
                </c:pt>
                <c:pt idx="927">
                  <c:v>809.6451793302748</c:v>
                </c:pt>
                <c:pt idx="928">
                  <c:v>809.6451793302748</c:v>
                </c:pt>
                <c:pt idx="929">
                  <c:v>809.6451793302748</c:v>
                </c:pt>
                <c:pt idx="930">
                  <c:v>809.6451793302748</c:v>
                </c:pt>
                <c:pt idx="931">
                  <c:v>809.6451793302748</c:v>
                </c:pt>
                <c:pt idx="932">
                  <c:v>809.6451793302748</c:v>
                </c:pt>
                <c:pt idx="933">
                  <c:v>809.6451793302748</c:v>
                </c:pt>
                <c:pt idx="934">
                  <c:v>809.6451793302748</c:v>
                </c:pt>
                <c:pt idx="935">
                  <c:v>809.6451793302748</c:v>
                </c:pt>
                <c:pt idx="936">
                  <c:v>809.6451793302748</c:v>
                </c:pt>
                <c:pt idx="937">
                  <c:v>809.6451793302748</c:v>
                </c:pt>
                <c:pt idx="938">
                  <c:v>809.6451793302748</c:v>
                </c:pt>
                <c:pt idx="939">
                  <c:v>809.6451793302748</c:v>
                </c:pt>
                <c:pt idx="940">
                  <c:v>809.6451793302748</c:v>
                </c:pt>
                <c:pt idx="941">
                  <c:v>809.6451793302748</c:v>
                </c:pt>
                <c:pt idx="942">
                  <c:v>809.6451793302748</c:v>
                </c:pt>
                <c:pt idx="943">
                  <c:v>809.6451793302748</c:v>
                </c:pt>
                <c:pt idx="944">
                  <c:v>809.6451793302748</c:v>
                </c:pt>
                <c:pt idx="945">
                  <c:v>809.6451793302748</c:v>
                </c:pt>
                <c:pt idx="946">
                  <c:v>809.6451793302748</c:v>
                </c:pt>
                <c:pt idx="947">
                  <c:v>809.6451793302748</c:v>
                </c:pt>
                <c:pt idx="948">
                  <c:v>809.6451793302748</c:v>
                </c:pt>
                <c:pt idx="949">
                  <c:v>809.6451793302748</c:v>
                </c:pt>
                <c:pt idx="950">
                  <c:v>809.6451793302748</c:v>
                </c:pt>
                <c:pt idx="951">
                  <c:v>809.6451793302748</c:v>
                </c:pt>
                <c:pt idx="952">
                  <c:v>809.6451793302748</c:v>
                </c:pt>
                <c:pt idx="953">
                  <c:v>809.6451793302748</c:v>
                </c:pt>
                <c:pt idx="954">
                  <c:v>809.6451793302748</c:v>
                </c:pt>
                <c:pt idx="955">
                  <c:v>809.6451793302748</c:v>
                </c:pt>
                <c:pt idx="956">
                  <c:v>809.6451793302748</c:v>
                </c:pt>
                <c:pt idx="957">
                  <c:v>809.6451793302748</c:v>
                </c:pt>
                <c:pt idx="958">
                  <c:v>809.6451793302748</c:v>
                </c:pt>
                <c:pt idx="959">
                  <c:v>809.6451793302748</c:v>
                </c:pt>
                <c:pt idx="960">
                  <c:v>809.6451793302748</c:v>
                </c:pt>
                <c:pt idx="961">
                  <c:v>809.6451793302748</c:v>
                </c:pt>
                <c:pt idx="962">
                  <c:v>809.6451793302748</c:v>
                </c:pt>
                <c:pt idx="963">
                  <c:v>809.6451793302748</c:v>
                </c:pt>
                <c:pt idx="964">
                  <c:v>809.6451793302748</c:v>
                </c:pt>
                <c:pt idx="965">
                  <c:v>809.6451793302748</c:v>
                </c:pt>
                <c:pt idx="966">
                  <c:v>809.6451793302748</c:v>
                </c:pt>
                <c:pt idx="967">
                  <c:v>809.6451793302748</c:v>
                </c:pt>
                <c:pt idx="968">
                  <c:v>809.6451793302748</c:v>
                </c:pt>
                <c:pt idx="969">
                  <c:v>809.6451793302748</c:v>
                </c:pt>
                <c:pt idx="970">
                  <c:v>809.6451793302748</c:v>
                </c:pt>
                <c:pt idx="971">
                  <c:v>809.6451793302748</c:v>
                </c:pt>
                <c:pt idx="972">
                  <c:v>809.6451793302748</c:v>
                </c:pt>
                <c:pt idx="973">
                  <c:v>809.6451793302748</c:v>
                </c:pt>
                <c:pt idx="974">
                  <c:v>809.6451793302748</c:v>
                </c:pt>
                <c:pt idx="975">
                  <c:v>809.6451793302748</c:v>
                </c:pt>
                <c:pt idx="976">
                  <c:v>809.6451793302748</c:v>
                </c:pt>
                <c:pt idx="977">
                  <c:v>809.6451793302748</c:v>
                </c:pt>
                <c:pt idx="978">
                  <c:v>809.6451793302748</c:v>
                </c:pt>
                <c:pt idx="979">
                  <c:v>809.6451793302748</c:v>
                </c:pt>
                <c:pt idx="980">
                  <c:v>809.6451793302748</c:v>
                </c:pt>
                <c:pt idx="981">
                  <c:v>809.6451793302748</c:v>
                </c:pt>
                <c:pt idx="982">
                  <c:v>809.6451793302748</c:v>
                </c:pt>
                <c:pt idx="983">
                  <c:v>809.6451793302748</c:v>
                </c:pt>
                <c:pt idx="984">
                  <c:v>809.6451793302748</c:v>
                </c:pt>
                <c:pt idx="985">
                  <c:v>809.6451793302748</c:v>
                </c:pt>
                <c:pt idx="986">
                  <c:v>809.6451793302748</c:v>
                </c:pt>
                <c:pt idx="987">
                  <c:v>809.6451793302748</c:v>
                </c:pt>
                <c:pt idx="988">
                  <c:v>809.6451793302748</c:v>
                </c:pt>
                <c:pt idx="989">
                  <c:v>809.6451793302748</c:v>
                </c:pt>
                <c:pt idx="990">
                  <c:v>809.6451793302748</c:v>
                </c:pt>
                <c:pt idx="991">
                  <c:v>809.6451793302748</c:v>
                </c:pt>
                <c:pt idx="992">
                  <c:v>809.6451793302748</c:v>
                </c:pt>
                <c:pt idx="993">
                  <c:v>809.6451793302748</c:v>
                </c:pt>
                <c:pt idx="994">
                  <c:v>809.6451793302748</c:v>
                </c:pt>
                <c:pt idx="995">
                  <c:v>809.6451793302748</c:v>
                </c:pt>
                <c:pt idx="996">
                  <c:v>809.6451793302748</c:v>
                </c:pt>
                <c:pt idx="997">
                  <c:v>809.6451793302748</c:v>
                </c:pt>
                <c:pt idx="998">
                  <c:v>809.6451793302748</c:v>
                </c:pt>
                <c:pt idx="999">
                  <c:v>809.6451793302748</c:v>
                </c:pt>
                <c:pt idx="1000">
                  <c:v>809.6451793302748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2970.9971417443212</c:v>
                </c:pt>
                <c:pt idx="304">
                  <c:v>2971.3953145678793</c:v>
                </c:pt>
                <c:pt idx="305">
                  <c:v>2971.6949141362215</c:v>
                </c:pt>
                <c:pt idx="306">
                  <c:v>2971.8960620863168</c:v>
                </c:pt>
                <c:pt idx="307">
                  <c:v>2971.9988762080079</c:v>
                </c:pt>
                <c:pt idx="308">
                  <c:v>2972.0034715528336</c:v>
                </c:pt>
                <c:pt idx="309">
                  <c:v>2971.9099615737468</c:v>
                </c:pt>
                <c:pt idx="310">
                  <c:v>2971.7184592785279</c:v>
                </c:pt>
                <c:pt idx="311">
                  <c:v>2971.4290783782367</c:v>
                </c:pt>
                <c:pt idx="312">
                  <c:v>2971.0419344118513</c:v>
                </c:pt>
                <c:pt idx="313">
                  <c:v>2970.5571458293653</c:v>
                </c:pt>
                <c:pt idx="314">
                  <c:v>2969.9748350178547</c:v>
                </c:pt>
                <c:pt idx="315">
                  <c:v>2969.2951292581247</c:v>
                </c:pt>
                <c:pt idx="316">
                  <c:v>2968.5181616030791</c:v>
                </c:pt>
                <c:pt idx="317">
                  <c:v>2967.6440716725583</c:v>
                </c:pt>
                <c:pt idx="318">
                  <c:v>2966.6730063627283</c:v>
                </c:pt>
                <c:pt idx="319">
                  <c:v>2965.6051204709306</c:v>
                </c:pt>
                <c:pt idx="320">
                  <c:v>2964.4405772391428</c:v>
                </c:pt>
                <c:pt idx="321">
                  <c:v>2963.1795488207717</c:v>
                </c:pt>
                <c:pt idx="322">
                  <c:v>2961.8222166765058</c:v>
                </c:pt>
                <c:pt idx="323">
                  <c:v>2960.3687719054647</c:v>
                </c:pt>
                <c:pt idx="324">
                  <c:v>2958.8194155179826</c:v>
                </c:pt>
                <c:pt idx="325">
                  <c:v>2957.1743586562143</c:v>
                </c:pt>
                <c:pt idx="326">
                  <c:v>2955.4338227683847</c:v>
                </c:pt>
                <c:pt idx="327">
                  <c:v>2953.5980397420494</c:v>
                </c:pt>
                <c:pt idx="328">
                  <c:v>2951.667252001208</c:v>
                </c:pt>
                <c:pt idx="329">
                  <c:v>2949.6417125715961</c:v>
                </c:pt>
                <c:pt idx="330">
                  <c:v>2947.5216851179648</c:v>
                </c:pt>
                <c:pt idx="331">
                  <c:v>2945.3074439566803</c:v>
                </c:pt>
                <c:pt idx="332">
                  <c:v>2942.9992740465523</c:v>
                </c:pt>
                <c:pt idx="333">
                  <c:v>2940.5974709604016</c:v>
                </c:pt>
                <c:pt idx="334">
                  <c:v>2938.1023408395531</c:v>
                </c:pt>
                <c:pt idx="335">
                  <c:v>2935.5142003331289</c:v>
                </c:pt>
                <c:pt idx="336">
                  <c:v>2932.8333765237721</c:v>
                </c:pt>
                <c:pt idx="337">
                  <c:v>2930.060206841214</c:v>
                </c:pt>
                <c:pt idx="338">
                  <c:v>2927.1950389648991</c:v>
                </c:pt>
                <c:pt idx="339">
                  <c:v>2924.2382307167386</c:v>
                </c:pt>
                <c:pt idx="340">
                  <c:v>2921.1901499449173</c:v>
                </c:pt>
                <c:pt idx="341">
                  <c:v>2918.0511743995671</c:v>
                </c:pt>
                <c:pt idx="342">
                  <c:v>2914.8216916010301</c:v>
                </c:pt>
                <c:pt idx="343">
                  <c:v>2911.5020987013381</c:v>
                </c:pt>
                <c:pt idx="344">
                  <c:v>2908.0928023394836</c:v>
                </c:pt>
                <c:pt idx="345">
                  <c:v>2904.5942184909845</c:v>
                </c:pt>
                <c:pt idx="346">
                  <c:v>2901.006772312202</c:v>
                </c:pt>
                <c:pt idx="347">
                  <c:v>2897.3308979798253</c:v>
                </c:pt>
                <c:pt idx="348">
                  <c:v>2893.5670385259045</c:v>
                </c:pt>
                <c:pt idx="349">
                  <c:v>2889.7156456687803</c:v>
                </c:pt>
                <c:pt idx="350">
                  <c:v>2885.7771796402303</c:v>
                </c:pt>
                <c:pt idx="351">
                  <c:v>2881.7521090091359</c:v>
                </c:pt>
                <c:pt idx="352">
                  <c:v>2877.6409105019447</c:v>
                </c:pt>
                <c:pt idx="353">
                  <c:v>2873.444068820198</c:v>
                </c:pt>
                <c:pt idx="354">
                  <c:v>2869.1620764553677</c:v>
                </c:pt>
                <c:pt idx="355">
                  <c:v>2864.7954335012432</c:v>
                </c:pt>
                <c:pt idx="356">
                  <c:v>2860.3446474640909</c:v>
                </c:pt>
                <c:pt idx="357">
                  <c:v>2855.8102330708007</c:v>
                </c:pt>
                <c:pt idx="358">
                  <c:v>2851.1927120752316</c:v>
                </c:pt>
                <c:pt idx="359">
                  <c:v>2846.4926130629501</c:v>
                </c:pt>
                <c:pt idx="360">
                  <c:v>2841.7104712545547</c:v>
                </c:pt>
                <c:pt idx="361">
                  <c:v>2836.8468283077732</c:v>
                </c:pt>
                <c:pt idx="362">
                  <c:v>2831.9022321185121</c:v>
                </c:pt>
                <c:pt idx="363">
                  <c:v>2826.8772366210314</c:v>
                </c:pt>
                <c:pt idx="364">
                  <c:v>2821.7724015874146</c:v>
                </c:pt>
                <c:pt idx="365">
                  <c:v>2816.5882924264952</c:v>
                </c:pt>
                <c:pt idx="366">
                  <c:v>2811.3254799824058</c:v>
                </c:pt>
                <c:pt idx="367">
                  <c:v>2805.9845403328986</c:v>
                </c:pt>
                <c:pt idx="368">
                  <c:v>2800.5660545875908</c:v>
                </c:pt>
                <c:pt idx="369">
                  <c:v>2795.0706086862824</c:v>
                </c:pt>
                <c:pt idx="370">
                  <c:v>2789.4987931974902</c:v>
                </c:pt>
                <c:pt idx="371">
                  <c:v>2783.8512031173332</c:v>
                </c:pt>
                <c:pt idx="372">
                  <c:v>2778.1284376689096</c:v>
                </c:pt>
                <c:pt idx="373">
                  <c:v>2772.3311001022935</c:v>
                </c:pt>
                <c:pt idx="374">
                  <c:v>2766.4597974952812</c:v>
                </c:pt>
                <c:pt idx="375">
                  <c:v>2760.5151405550087</c:v>
                </c:pt>
                <c:pt idx="376">
                  <c:v>2754.4977434205643</c:v>
                </c:pt>
                <c:pt idx="377">
                  <c:v>2748.4082234667085</c:v>
                </c:pt>
                <c:pt idx="378">
                  <c:v>2742.2472011088189</c:v>
                </c:pt>
                <c:pt idx="379">
                  <c:v>2736.0152996091647</c:v>
                </c:pt>
                <c:pt idx="380">
                  <c:v>2729.7131448846221</c:v>
                </c:pt>
                <c:pt idx="381">
                  <c:v>2723.3413653159255</c:v>
                </c:pt>
                <c:pt idx="382">
                  <c:v>2716.9005915585594</c:v>
                </c:pt>
                <c:pt idx="383">
                  <c:v>2710.3914563553831</c:v>
                </c:pt>
                <c:pt idx="384">
                  <c:v>2703.8145943510767</c:v>
                </c:pt>
                <c:pt idx="385">
                  <c:v>2697.1706419085017</c:v>
                </c:pt>
                <c:pt idx="386">
                  <c:v>2690.4602369270528</c:v>
                </c:pt>
                <c:pt idx="387">
                  <c:v>2683.6840186630884</c:v>
                </c:pt>
                <c:pt idx="388">
                  <c:v>2676.8426275525094</c:v>
                </c:pt>
                <c:pt idx="389">
                  <c:v>2669.936705035565</c:v>
                </c:pt>
                <c:pt idx="390">
                  <c:v>2662.9668933839516</c:v>
                </c:pt>
                <c:pt idx="391">
                  <c:v>2655.9338355302707</c:v>
                </c:pt>
                <c:pt idx="392">
                  <c:v>2648.83817489991</c:v>
                </c:pt>
                <c:pt idx="393">
                  <c:v>2641.6805552454057</c:v>
                </c:pt>
                <c:pt idx="394">
                  <c:v>2634.4616204833383</c:v>
                </c:pt>
                <c:pt idx="395">
                  <c:v>2627.1820145338206</c:v>
                </c:pt>
                <c:pt idx="396">
                  <c:v>2619.8423811626185</c:v>
                </c:pt>
                <c:pt idx="397">
                  <c:v>2612.4433638259557</c:v>
                </c:pt>
                <c:pt idx="398">
                  <c:v>2604.9856055180412</c:v>
                </c:pt>
                <c:pt idx="399">
                  <c:v>2597.4697486213586</c:v>
                </c:pt>
                <c:pt idx="400">
                  <c:v>2589.8964347597544</c:v>
                </c:pt>
                <c:pt idx="401">
                  <c:v>2582.266304654353</c:v>
                </c:pt>
                <c:pt idx="402">
                  <c:v>2574.5799979823332</c:v>
                </c:pt>
                <c:pt idx="403">
                  <c:v>2566.8381532385865</c:v>
                </c:pt>
                <c:pt idx="404">
                  <c:v>2559.0414076002853</c:v>
                </c:pt>
                <c:pt idx="405">
                  <c:v>2551.1903967943772</c:v>
                </c:pt>
                <c:pt idx="406">
                  <c:v>2543.285754968023</c:v>
                </c:pt>
                <c:pt idx="407">
                  <c:v>2535.3281145619962</c:v>
                </c:pt>
                <c:pt idx="408">
                  <c:v>2527.31810618705</c:v>
                </c:pt>
                <c:pt idx="409">
                  <c:v>2519.2563585032653</c:v>
                </c:pt>
                <c:pt idx="410">
                  <c:v>2511.1434981023826</c:v>
                </c:pt>
                <c:pt idx="411">
                  <c:v>2502.9801493931245</c:v>
                </c:pt>
                <c:pt idx="412">
                  <c:v>2494.7669344895066</c:v>
                </c:pt>
                <c:pt idx="413">
                  <c:v>2486.5044731021389</c:v>
                </c:pt>
                <c:pt idx="414">
                  <c:v>2478.1933824325101</c:v>
                </c:pt>
                <c:pt idx="415">
                  <c:v>2469.8342770702548</c:v>
                </c:pt>
                <c:pt idx="416">
                  <c:v>2461.4277688933871</c:v>
                </c:pt>
                <c:pt idx="417">
                  <c:v>2452.9744669714996</c:v>
                </c:pt>
                <c:pt idx="418">
                  <c:v>2444.4749774719089</c:v>
                </c:pt>
                <c:pt idx="419">
                  <c:v>2435.9299035687359</c:v>
                </c:pt>
                <c:pt idx="420">
                  <c:v>2427.339845354903</c:v>
                </c:pt>
                <c:pt idx="421">
                  <c:v>2418.7053997570342</c:v>
                </c:pt>
                <c:pt idx="422">
                  <c:v>2410.027160453234</c:v>
                </c:pt>
                <c:pt idx="423">
                  <c:v>2401.3057177937258</c:v>
                </c:pt>
                <c:pt idx="424">
                  <c:v>2392.5416587243244</c:v>
                </c:pt>
                <c:pt idx="425">
                  <c:v>2383.735566712724</c:v>
                </c:pt>
                <c:pt idx="426">
                  <c:v>2374.8880216775669</c:v>
                </c:pt>
                <c:pt idx="427">
                  <c:v>2365.9995999202733</c:v>
                </c:pt>
                <c:pt idx="428">
                  <c:v>2357.0708740595987</c:v>
                </c:pt>
                <c:pt idx="429">
                  <c:v>2348.1024129688894</c:v>
                </c:pt>
                <c:pt idx="430">
                  <c:v>2339.0947817160086</c:v>
                </c:pt>
                <c:pt idx="431">
                  <c:v>2330.0485415058952</c:v>
                </c:pt>
                <c:pt idx="432">
                  <c:v>2320.9642496257256</c:v>
                </c:pt>
                <c:pt idx="433">
                  <c:v>2311.8424593926438</c:v>
                </c:pt>
                <c:pt idx="434">
                  <c:v>2302.6837201040221</c:v>
                </c:pt>
                <c:pt idx="435">
                  <c:v>2293.4885769902194</c:v>
                </c:pt>
                <c:pt idx="436">
                  <c:v>2284.2575711697991</c:v>
                </c:pt>
                <c:pt idx="437">
                  <c:v>2274.9912396071663</c:v>
                </c:pt>
                <c:pt idx="438">
                  <c:v>2265.6901150725907</c:v>
                </c:pt>
                <c:pt idx="439">
                  <c:v>2256.3547261045719</c:v>
                </c:pt>
                <c:pt idx="440">
                  <c:v>2246.9855969745108</c:v>
                </c:pt>
                <c:pt idx="441">
                  <c:v>2237.5832476536439</c:v>
                </c:pt>
                <c:pt idx="442">
                  <c:v>2228.1481937822023</c:v>
                </c:pt>
                <c:pt idx="443">
                  <c:v>2218.6809466407562</c:v>
                </c:pt>
                <c:pt idx="444">
                  <c:v>2209.1820131236977</c:v>
                </c:pt>
                <c:pt idx="445">
                  <c:v>2199.6518957148264</c:v>
                </c:pt>
                <c:pt idx="446">
                  <c:v>2190.0910924649934</c:v>
                </c:pt>
                <c:pt idx="447">
                  <c:v>2180.5000969717616</c:v>
                </c:pt>
                <c:pt idx="448">
                  <c:v>2170.8793983610421</c:v>
                </c:pt>
                <c:pt idx="449">
                  <c:v>2161.2294812706609</c:v>
                </c:pt>
                <c:pt idx="450">
                  <c:v>2151.5508258358168</c:v>
                </c:pt>
                <c:pt idx="451">
                  <c:v>2141.8439076763875</c:v>
                </c:pt>
                <c:pt idx="452">
                  <c:v>2132.1091978860409</c:v>
                </c:pt>
                <c:pt idx="453">
                  <c:v>2122.3471630231102</c:v>
                </c:pt>
                <c:pt idx="454">
                  <c:v>2112.5582651031882</c:v>
                </c:pt>
                <c:pt idx="455">
                  <c:v>2102.7429615934029</c:v>
                </c:pt>
                <c:pt idx="456">
                  <c:v>2092.9017054083292</c:v>
                </c:pt>
                <c:pt idx="457">
                  <c:v>2083.0349449074961</c:v>
                </c:pt>
                <c:pt idx="458">
                  <c:v>2073.1431238944479</c:v>
                </c:pt>
                <c:pt idx="459">
                  <c:v>2063.2266816173169</c:v>
                </c:pt>
                <c:pt idx="460">
                  <c:v>2053.2860527708708</c:v>
                </c:pt>
                <c:pt idx="461">
                  <c:v>2043.3216674999878</c:v>
                </c:pt>
                <c:pt idx="462">
                  <c:v>2033.333951404524</c:v>
                </c:pt>
                <c:pt idx="463">
                  <c:v>2023.3233255455307</c:v>
                </c:pt>
                <c:pt idx="464">
                  <c:v>2013.2902064527837</c:v>
                </c:pt>
                <c:pt idx="465">
                  <c:v>2003.2350061335831</c:v>
                </c:pt>
                <c:pt idx="466">
                  <c:v>1993.1581320827861</c:v>
                </c:pt>
                <c:pt idx="467">
                  <c:v>1983.0599872940354</c:v>
                </c:pt>
                <c:pt idx="468">
                  <c:v>1972.9409702721423</c:v>
                </c:pt>
                <c:pt idx="469">
                  <c:v>1962.8014750465898</c:v>
                </c:pt>
                <c:pt idx="470">
                  <c:v>1952.6418911861169</c:v>
                </c:pt>
                <c:pt idx="471">
                  <c:v>1942.4626038143494</c:v>
                </c:pt>
                <c:pt idx="472">
                  <c:v>1932.2639936264379</c:v>
                </c:pt>
                <c:pt idx="473">
                  <c:v>1922.0464369066713</c:v>
                </c:pt>
                <c:pt idx="474">
                  <c:v>1911.8103055470281</c:v>
                </c:pt>
                <c:pt idx="475">
                  <c:v>1901.5559670666319</c:v>
                </c:pt>
                <c:pt idx="476">
                  <c:v>1891.2837846320772</c:v>
                </c:pt>
                <c:pt idx="477">
                  <c:v>1880.9941170785924</c:v>
                </c:pt>
                <c:pt idx="478">
                  <c:v>1870.6873189320063</c:v>
                </c:pt>
                <c:pt idx="479">
                  <c:v>1860.3637404314861</c:v>
                </c:pt>
                <c:pt idx="480">
                  <c:v>1850.0237275530167</c:v>
                </c:pt>
                <c:pt idx="481">
                  <c:v>1839.6676220335864</c:v>
                </c:pt>
                <c:pt idx="482">
                  <c:v>1829.2957613960546</c:v>
                </c:pt>
                <c:pt idx="483">
                  <c:v>1818.9084789746635</c:v>
                </c:pt>
                <c:pt idx="484">
                  <c:v>1808.5061039411728</c:v>
                </c:pt>
                <c:pt idx="485">
                  <c:v>1798.0889613315821</c:v>
                </c:pt>
                <c:pt idx="486">
                  <c:v>1787.6573720734157</c:v>
                </c:pt>
                <c:pt idx="487">
                  <c:v>1777.2116530135418</c:v>
                </c:pt>
                <c:pt idx="488">
                  <c:v>1766.7521169464999</c:v>
                </c:pt>
                <c:pt idx="489">
                  <c:v>1756.2790726433072</c:v>
                </c:pt>
                <c:pt idx="490">
                  <c:v>1745.7928248807218</c:v>
                </c:pt>
                <c:pt idx="491">
                  <c:v>1735.2936744709336</c:v>
                </c:pt>
                <c:pt idx="492">
                  <c:v>1724.7819182916617</c:v>
                </c:pt>
                <c:pt idx="493">
                  <c:v>1714.2578493166316</c:v>
                </c:pt>
                <c:pt idx="494">
                  <c:v>1703.7217566464099</c:v>
                </c:pt>
                <c:pt idx="495">
                  <c:v>1693.1739255395732</c:v>
                </c:pt>
                <c:pt idx="496">
                  <c:v>1682.6146374441892</c:v>
                </c:pt>
                <c:pt idx="497">
                  <c:v>1672.0441700295855</c:v>
                </c:pt>
                <c:pt idx="498">
                  <c:v>1661.4627972183907</c:v>
                </c:pt>
                <c:pt idx="499">
                  <c:v>1650.8707892188197</c:v>
                </c:pt>
                <c:pt idx="500">
                  <c:v>1640.2684125571884</c:v>
                </c:pt>
                <c:pt idx="501">
                  <c:v>1629.6559301106361</c:v>
                </c:pt>
                <c:pt idx="502">
                  <c:v>1619.0336011400361</c:v>
                </c:pt>
                <c:pt idx="503">
                  <c:v>1608.4016813230771</c:v>
                </c:pt>
                <c:pt idx="504">
                  <c:v>1597.7604227874958</c:v>
                </c:pt>
                <c:pt idx="505">
                  <c:v>1587.110074144445</c:v>
                </c:pt>
                <c:pt idx="506">
                  <c:v>1576.450880521978</c:v>
                </c:pt>
                <c:pt idx="507">
                  <c:v>1565.7830835986347</c:v>
                </c:pt>
                <c:pt idx="508">
                  <c:v>1555.106921637112</c:v>
                </c:pt>
                <c:pt idx="509">
                  <c:v>1544.4226295180031</c:v>
                </c:pt>
                <c:pt idx="510">
                  <c:v>1533.7304387735917</c:v>
                </c:pt>
                <c:pt idx="511">
                  <c:v>1523.0305776216844</c:v>
                </c:pt>
                <c:pt idx="512">
                  <c:v>1512.3232709994697</c:v>
                </c:pt>
                <c:pt idx="513">
                  <c:v>1501.6087405973876</c:v>
                </c:pt>
                <c:pt idx="514">
                  <c:v>1490.8872048929979</c:v>
                </c:pt>
                <c:pt idx="515">
                  <c:v>1480.1588791848339</c:v>
                </c:pt>
                <c:pt idx="516">
                  <c:v>1469.4239756262286</c:v>
                </c:pt>
                <c:pt idx="517">
                  <c:v>1458.6827032591034</c:v>
                </c:pt>
                <c:pt idx="518">
                  <c:v>1447.9352680477048</c:v>
                </c:pt>
                <c:pt idx="519">
                  <c:v>1437.1818729122808</c:v>
                </c:pt>
                <c:pt idx="520">
                  <c:v>1426.4227177626844</c:v>
                </c:pt>
                <c:pt idx="521">
                  <c:v>1415.6579995318946</c:v>
                </c:pt>
                <c:pt idx="522">
                  <c:v>1404.8879122094447</c:v>
                </c:pt>
                <c:pt idx="523">
                  <c:v>1394.1126468747489</c:v>
                </c:pt>
                <c:pt idx="524">
                  <c:v>1383.3323917303173</c:v>
                </c:pt>
                <c:pt idx="525">
                  <c:v>1372.5473321348506</c:v>
                </c:pt>
                <c:pt idx="526">
                  <c:v>1361.7576506362068</c:v>
                </c:pt>
                <c:pt idx="527">
                  <c:v>1350.9635270042299</c:v>
                </c:pt>
                <c:pt idx="528">
                  <c:v>1340.1651382634357</c:v>
                </c:pt>
                <c:pt idx="529">
                  <c:v>1329.3626587255433</c:v>
                </c:pt>
                <c:pt idx="530">
                  <c:v>1318.5562600218504</c:v>
                </c:pt>
                <c:pt idx="531">
                  <c:v>1307.7461111354398</c:v>
                </c:pt>
                <c:pt idx="532">
                  <c:v>1296.9323784332148</c:v>
                </c:pt>
                <c:pt idx="533">
                  <c:v>1286.1152256977555</c:v>
                </c:pt>
                <c:pt idx="534">
                  <c:v>1275.2948141589904</c:v>
                </c:pt>
                <c:pt idx="535">
                  <c:v>1264.4713025256781</c:v>
                </c:pt>
                <c:pt idx="536">
                  <c:v>1253.6448470166922</c:v>
                </c:pt>
                <c:pt idx="537">
                  <c:v>1242.8156013921071</c:v>
                </c:pt>
                <c:pt idx="538">
                  <c:v>1231.9837169840762</c:v>
                </c:pt>
                <c:pt idx="539">
                  <c:v>1221.149342727502</c:v>
                </c:pt>
                <c:pt idx="540">
                  <c:v>1210.3126251904898</c:v>
                </c:pt>
                <c:pt idx="541">
                  <c:v>1199.4737086045841</c:v>
                </c:pt>
                <c:pt idx="542">
                  <c:v>1188.6327348947823</c:v>
                </c:pt>
                <c:pt idx="543">
                  <c:v>1177.789843709322</c:v>
                </c:pt>
                <c:pt idx="544">
                  <c:v>1166.9451724492392</c:v>
                </c:pt>
                <c:pt idx="545">
                  <c:v>1156.0988562976936</c:v>
                </c:pt>
                <c:pt idx="546">
                  <c:v>1145.2510282490591</c:v>
                </c:pt>
                <c:pt idx="547">
                  <c:v>1134.4018191377752</c:v>
                </c:pt>
                <c:pt idx="548">
                  <c:v>1123.551357666958</c:v>
                </c:pt>
                <c:pt idx="549">
                  <c:v>1112.6997704367675</c:v>
                </c:pt>
                <c:pt idx="550">
                  <c:v>1101.8471819725303</c:v>
                </c:pt>
                <c:pt idx="551">
                  <c:v>1090.9937147526141</c:v>
                </c:pt>
                <c:pt idx="552">
                  <c:v>1080.139489236054</c:v>
                </c:pt>
                <c:pt idx="553">
                  <c:v>1069.2846238899267</c:v>
                </c:pt>
                <c:pt idx="554">
                  <c:v>1058.4292352164734</c:v>
                </c:pt>
                <c:pt idx="555">
                  <c:v>1047.5734377799686</c:v>
                </c:pt>
                <c:pt idx="556">
                  <c:v>1036.7173442333335</c:v>
                </c:pt>
                <c:pt idx="557">
                  <c:v>1025.8610653444955</c:v>
                </c:pt>
                <c:pt idx="558">
                  <c:v>1015.0047100224884</c:v>
                </c:pt>
                <c:pt idx="559">
                  <c:v>1004.1483853432974</c:v>
                </c:pt>
                <c:pt idx="560">
                  <c:v>993.29219657544411</c:v>
                </c:pt>
                <c:pt idx="561">
                  <c:v>982.43624720531466</c:v>
                </c:pt>
                <c:pt idx="562">
                  <c:v>971.58063896222779</c:v>
                </c:pt>
                <c:pt idx="563">
                  <c:v>960.72547184324446</c:v>
                </c:pt>
                <c:pt idx="564">
                  <c:v>949.870844137718</c:v>
                </c:pt>
                <c:pt idx="565">
                  <c:v>939.01685245158467</c:v>
                </c:pt>
                <c:pt idx="566">
                  <c:v>928.16359173139597</c:v>
                </c:pt>
                <c:pt idx="567">
                  <c:v>917.31115528809096</c:v>
                </c:pt>
                <c:pt idx="568">
                  <c:v>906.45963482051093</c:v>
                </c:pt>
                <c:pt idx="569">
                  <c:v>895.60912043865505</c:v>
                </c:pt>
                <c:pt idx="570">
                  <c:v>884.75970068667903</c:v>
                </c:pt>
                <c:pt idx="571">
                  <c:v>873.91146256563616</c:v>
                </c:pt>
                <c:pt idx="572">
                  <c:v>863.06449155596192</c:v>
                </c:pt>
                <c:pt idx="573">
                  <c:v>852.21887163970325</c:v>
                </c:pt>
                <c:pt idx="574">
                  <c:v>841.37468532249261</c:v>
                </c:pt>
                <c:pt idx="575">
                  <c:v>830.53201365526809</c:v>
                </c:pt>
                <c:pt idx="576">
                  <c:v>819.69093625574067</c:v>
                </c:pt>
                <c:pt idx="577">
                  <c:v>808.85153132960943</c:v>
                </c:pt>
                <c:pt idx="578">
                  <c:v>798.01387569152598</c:v>
                </c:pt>
                <c:pt idx="579">
                  <c:v>787.17804478580922</c:v>
                </c:pt>
                <c:pt idx="580">
                  <c:v>776.34411270691146</c:v>
                </c:pt>
                <c:pt idx="581">
                  <c:v>765.51215221963764</c:v>
                </c:pt>
                <c:pt idx="582">
                  <c:v>754.68223477911852</c:v>
                </c:pt>
                <c:pt idx="583">
                  <c:v>743.85443055053975</c:v>
                </c:pt>
                <c:pt idx="584">
                  <c:v>733.02880842862749</c:v>
                </c:pt>
                <c:pt idx="585">
                  <c:v>722.20543605689295</c:v>
                </c:pt>
                <c:pt idx="586">
                  <c:v>711.38437984663665</c:v>
                </c:pt>
                <c:pt idx="587">
                  <c:v>700.56570499571444</c:v>
                </c:pt>
                <c:pt idx="588">
                  <c:v>689.74947550706679</c:v>
                </c:pt>
                <c:pt idx="589">
                  <c:v>678.93575420701268</c:v>
                </c:pt>
                <c:pt idx="590">
                  <c:v>668.12460276331035</c:v>
                </c:pt>
                <c:pt idx="591">
                  <c:v>657.31608170298568</c:v>
                </c:pt>
                <c:pt idx="592">
                  <c:v>646.51025042993138</c:v>
                </c:pt>
                <c:pt idx="593">
                  <c:v>635.70716724227748</c:v>
                </c:pt>
                <c:pt idx="594">
                  <c:v>624.90688934953516</c:v>
                </c:pt>
                <c:pt idx="595">
                  <c:v>614.10947288951638</c:v>
                </c:pt>
                <c:pt idx="596">
                  <c:v>603.31497294503072</c:v>
                </c:pt>
                <c:pt idx="597">
                  <c:v>592.52344356036087</c:v>
                </c:pt>
                <c:pt idx="598">
                  <c:v>581.73493775751945</c:v>
                </c:pt>
                <c:pt idx="599">
                  <c:v>570.94950755228865</c:v>
                </c:pt>
                <c:pt idx="600">
                  <c:v>560.16720397004474</c:v>
                </c:pt>
                <c:pt idx="601">
                  <c:v>549.38807706136913</c:v>
                </c:pt>
                <c:pt idx="602">
                  <c:v>538.61217591744821</c:v>
                </c:pt>
                <c:pt idx="603">
                  <c:v>527.83954868526394</c:v>
                </c:pt>
                <c:pt idx="604">
                  <c:v>517.07024258257695</c:v>
                </c:pt>
                <c:pt idx="605">
                  <c:v>506.30430391270414</c:v>
                </c:pt>
                <c:pt idx="606">
                  <c:v>495.54177807909315</c:v>
                </c:pt>
                <c:pt idx="607">
                  <c:v>484.78270959969524</c:v>
                </c:pt>
                <c:pt idx="608">
                  <c:v>474.02714212113875</c:v>
                </c:pt>
                <c:pt idx="609">
                  <c:v>463.27511843270531</c:v>
                </c:pt>
                <c:pt idx="610">
                  <c:v>452.52668048011054</c:v>
                </c:pt>
                <c:pt idx="611">
                  <c:v>441.7818693790914</c:v>
                </c:pt>
                <c:pt idx="612">
                  <c:v>431.04072542880226</c:v>
                </c:pt>
                <c:pt idx="613">
                  <c:v>420.3032881250216</c:v>
                </c:pt>
                <c:pt idx="614">
                  <c:v>409.56959617317142</c:v>
                </c:pt>
                <c:pt idx="615">
                  <c:v>398.83968750115127</c:v>
                </c:pt>
                <c:pt idx="616">
                  <c:v>388.11359927198913</c:v>
                </c:pt>
                <c:pt idx="617">
                  <c:v>377.39136789631095</c:v>
                </c:pt>
                <c:pt idx="618">
                  <c:v>366.67302904463099</c:v>
                </c:pt>
                <c:pt idx="619">
                  <c:v>355.95861765946472</c:v>
                </c:pt>
                <c:pt idx="620">
                  <c:v>345.24816796726668</c:v>
                </c:pt>
                <c:pt idx="621">
                  <c:v>334.54171349019509</c:v>
                </c:pt>
                <c:pt idx="622">
                  <c:v>323.83928705770495</c:v>
                </c:pt>
                <c:pt idx="623">
                  <c:v>313.14092081797213</c:v>
                </c:pt>
                <c:pt idx="624">
                  <c:v>302.44664624914998</c:v>
                </c:pt>
                <c:pt idx="625">
                  <c:v>291.75649417046054</c:v>
                </c:pt>
                <c:pt idx="626">
                  <c:v>281.0704947531226</c:v>
                </c:pt>
                <c:pt idx="627">
                  <c:v>270.38867753111805</c:v>
                </c:pt>
                <c:pt idx="628">
                  <c:v>259.71107141179886</c:v>
                </c:pt>
                <c:pt idx="629">
                  <c:v>249.03770468633653</c:v>
                </c:pt>
                <c:pt idx="630">
                  <c:v>238.36860504001572</c:v>
                </c:pt>
                <c:pt idx="631">
                  <c:v>227.70379956237426</c:v>
                </c:pt>
                <c:pt idx="632">
                  <c:v>217.04331475719127</c:v>
                </c:pt>
                <c:pt idx="633">
                  <c:v>206.38717655232529</c:v>
                </c:pt>
                <c:pt idx="634">
                  <c:v>195.73541030940436</c:v>
                </c:pt>
                <c:pt idx="635">
                  <c:v>185.08804083336983</c:v>
                </c:pt>
                <c:pt idx="636">
                  <c:v>174.44509238187575</c:v>
                </c:pt>
                <c:pt idx="637">
                  <c:v>163.80658867454582</c:v>
                </c:pt>
                <c:pt idx="638">
                  <c:v>153.17255290208945</c:v>
                </c:pt>
                <c:pt idx="639">
                  <c:v>142.54300773527902</c:v>
                </c:pt>
                <c:pt idx="640">
                  <c:v>131.91797533378997</c:v>
                </c:pt>
                <c:pt idx="641">
                  <c:v>121.29747735490554</c:v>
                </c:pt>
                <c:pt idx="642">
                  <c:v>110.68153496208794</c:v>
                </c:pt>
                <c:pt idx="643">
                  <c:v>100.07016883341764</c:v>
                </c:pt>
                <c:pt idx="644">
                  <c:v>89.463399169902644</c:v>
                </c:pt>
                <c:pt idx="645">
                  <c:v>78.861245703659364</c:v>
                </c:pt>
                <c:pt idx="646">
                  <c:v>68.263727705966787</c:v>
                </c:pt>
                <c:pt idx="647">
                  <c:v>57.670863995195738</c:v>
                </c:pt>
                <c:pt idx="648">
                  <c:v>47.082672944614842</c:v>
                </c:pt>
                <c:pt idx="649">
                  <c:v>36.49917249007482</c:v>
                </c:pt>
                <c:pt idx="650">
                  <c:v>25.920380137572835</c:v>
                </c:pt>
                <c:pt idx="651">
                  <c:v>15.346312970698486</c:v>
                </c:pt>
                <c:pt idx="652">
                  <c:v>4.7769876579630619</c:v>
                </c:pt>
                <c:pt idx="653">
                  <c:v>-5.7875795399863339</c:v>
                </c:pt>
                <c:pt idx="654">
                  <c:v>-5.798141721721362</c:v>
                </c:pt>
                <c:pt idx="655">
                  <c:v>-5.8087038986745769</c:v>
                </c:pt>
                <c:pt idx="656">
                  <c:v>-5.8192660708459636</c:v>
                </c:pt>
                <c:pt idx="657">
                  <c:v>-5.829828238235506</c:v>
                </c:pt>
                <c:pt idx="658">
                  <c:v>-5.8403904008431899</c:v>
                </c:pt>
                <c:pt idx="659">
                  <c:v>-5.8509525586689994</c:v>
                </c:pt>
                <c:pt idx="660">
                  <c:v>-5.8615147117129194</c:v>
                </c:pt>
                <c:pt idx="661">
                  <c:v>-5.8720768599749347</c:v>
                </c:pt>
                <c:pt idx="662">
                  <c:v>-5.8826390034550302</c:v>
                </c:pt>
                <c:pt idx="663">
                  <c:v>-5.89320114215319</c:v>
                </c:pt>
                <c:pt idx="664">
                  <c:v>-5.903763276069399</c:v>
                </c:pt>
                <c:pt idx="665">
                  <c:v>-5.914325405203642</c:v>
                </c:pt>
                <c:pt idx="666">
                  <c:v>-5.9248875295559031</c:v>
                </c:pt>
                <c:pt idx="667">
                  <c:v>-5.9354496491261681</c:v>
                </c:pt>
                <c:pt idx="668">
                  <c:v>-5.946011763914421</c:v>
                </c:pt>
                <c:pt idx="669">
                  <c:v>-5.9565738739206466</c:v>
                </c:pt>
                <c:pt idx="670">
                  <c:v>-5.9671359791448291</c:v>
                </c:pt>
                <c:pt idx="671">
                  <c:v>-5.9776980795869541</c:v>
                </c:pt>
                <c:pt idx="672">
                  <c:v>-5.9882601752470057</c:v>
                </c:pt>
                <c:pt idx="673">
                  <c:v>-5.9988222661249688</c:v>
                </c:pt>
                <c:pt idx="674">
                  <c:v>-6.0093843522208283</c:v>
                </c:pt>
                <c:pt idx="675">
                  <c:v>-6.0199464335345683</c:v>
                </c:pt>
                <c:pt idx="676">
                  <c:v>-6.0305085100661735</c:v>
                </c:pt>
                <c:pt idx="677">
                  <c:v>-6.0410705818156289</c:v>
                </c:pt>
                <c:pt idx="678">
                  <c:v>-6.0516326487829195</c:v>
                </c:pt>
                <c:pt idx="679">
                  <c:v>-6.0621947109680301</c:v>
                </c:pt>
                <c:pt idx="680">
                  <c:v>-6.0727567683709447</c:v>
                </c:pt>
                <c:pt idx="681">
                  <c:v>-6.0833188209916482</c:v>
                </c:pt>
                <c:pt idx="682">
                  <c:v>-6.0938808688301256</c:v>
                </c:pt>
                <c:pt idx="683">
                  <c:v>-6.1044429118863608</c:v>
                </c:pt>
                <c:pt idx="684">
                  <c:v>-6.1150049501603396</c:v>
                </c:pt>
                <c:pt idx="685">
                  <c:v>-6.1255669836520461</c:v>
                </c:pt>
                <c:pt idx="686">
                  <c:v>-6.1361290123614651</c:v>
                </c:pt>
                <c:pt idx="687">
                  <c:v>-6.1466910362885816</c:v>
                </c:pt>
                <c:pt idx="688">
                  <c:v>-6.1572530554333795</c:v>
                </c:pt>
                <c:pt idx="689">
                  <c:v>-6.1678150697958438</c:v>
                </c:pt>
                <c:pt idx="690">
                  <c:v>-6.1783770793759594</c:v>
                </c:pt>
                <c:pt idx="691">
                  <c:v>-6.1889390841737111</c:v>
                </c:pt>
                <c:pt idx="692">
                  <c:v>-6.1995010841890839</c:v>
                </c:pt>
                <c:pt idx="693">
                  <c:v>-6.2100630794220617</c:v>
                </c:pt>
                <c:pt idx="694">
                  <c:v>-6.2206250698726295</c:v>
                </c:pt>
                <c:pt idx="695">
                  <c:v>-6.2311870555407722</c:v>
                </c:pt>
                <c:pt idx="696">
                  <c:v>-6.2417490364264747</c:v>
                </c:pt>
                <c:pt idx="697">
                  <c:v>-6.252311012529721</c:v>
                </c:pt>
                <c:pt idx="698">
                  <c:v>-6.262872983850496</c:v>
                </c:pt>
                <c:pt idx="699">
                  <c:v>-6.2734349503887845</c:v>
                </c:pt>
                <c:pt idx="700">
                  <c:v>-6.2839969121445716</c:v>
                </c:pt>
                <c:pt idx="701">
                  <c:v>-6.2945588691178411</c:v>
                </c:pt>
                <c:pt idx="702">
                  <c:v>-6.305120821308579</c:v>
                </c:pt>
                <c:pt idx="703">
                  <c:v>-6.3156827687167691</c:v>
                </c:pt>
                <c:pt idx="704">
                  <c:v>-6.3262447113423965</c:v>
                </c:pt>
                <c:pt idx="705">
                  <c:v>-6.3368066491854451</c:v>
                </c:pt>
                <c:pt idx="706">
                  <c:v>-6.3473685822459007</c:v>
                </c:pt>
                <c:pt idx="707">
                  <c:v>-6.3579305105237474</c:v>
                </c:pt>
                <c:pt idx="708">
                  <c:v>-6.3684924340189699</c:v>
                </c:pt>
                <c:pt idx="709">
                  <c:v>-6.3790543527315533</c:v>
                </c:pt>
                <c:pt idx="710">
                  <c:v>-6.3896162666614815</c:v>
                </c:pt>
                <c:pt idx="711">
                  <c:v>-6.4001781758087404</c:v>
                </c:pt>
                <c:pt idx="712">
                  <c:v>-6.4107400801733139</c:v>
                </c:pt>
                <c:pt idx="713">
                  <c:v>-6.4213019797551869</c:v>
                </c:pt>
                <c:pt idx="714">
                  <c:v>-6.4318638745543435</c:v>
                </c:pt>
                <c:pt idx="715">
                  <c:v>-6.4424257645707694</c:v>
                </c:pt>
                <c:pt idx="716">
                  <c:v>-6.4529876498044487</c:v>
                </c:pt>
                <c:pt idx="717">
                  <c:v>-6.4635495302553663</c:v>
                </c:pt>
                <c:pt idx="718">
                  <c:v>-6.474111405923507</c:v>
                </c:pt>
                <c:pt idx="719">
                  <c:v>-6.4846732768088549</c:v>
                </c:pt>
                <c:pt idx="720">
                  <c:v>-6.4952351429113957</c:v>
                </c:pt>
                <c:pt idx="721">
                  <c:v>-6.5057970042311135</c:v>
                </c:pt>
                <c:pt idx="722">
                  <c:v>-6.5163588607679932</c:v>
                </c:pt>
                <c:pt idx="723">
                  <c:v>-6.5269207125220188</c:v>
                </c:pt>
                <c:pt idx="724">
                  <c:v>-6.537482559493176</c:v>
                </c:pt>
                <c:pt idx="725">
                  <c:v>-6.548044401681449</c:v>
                </c:pt>
                <c:pt idx="726">
                  <c:v>-6.5586062390868225</c:v>
                </c:pt>
                <c:pt idx="727">
                  <c:v>-6.5691680717092815</c:v>
                </c:pt>
                <c:pt idx="728">
                  <c:v>-6.5797298995488109</c:v>
                </c:pt>
                <c:pt idx="729">
                  <c:v>-6.5902917226053948</c:v>
                </c:pt>
                <c:pt idx="730">
                  <c:v>-6.6008535408790188</c:v>
                </c:pt>
                <c:pt idx="731">
                  <c:v>-6.611415354369667</c:v>
                </c:pt>
                <c:pt idx="732">
                  <c:v>-6.6219771630773243</c:v>
                </c:pt>
                <c:pt idx="733">
                  <c:v>-6.6325389670019748</c:v>
                </c:pt>
                <c:pt idx="734">
                  <c:v>-6.6431007661436041</c:v>
                </c:pt>
                <c:pt idx="735">
                  <c:v>-6.6536625605021964</c:v>
                </c:pt>
                <c:pt idx="736">
                  <c:v>-6.6642243500777365</c:v>
                </c:pt>
                <c:pt idx="737">
                  <c:v>-6.6747861348702084</c:v>
                </c:pt>
                <c:pt idx="738">
                  <c:v>-6.685347914879598</c:v>
                </c:pt>
                <c:pt idx="739">
                  <c:v>-6.6959096901058892</c:v>
                </c:pt>
                <c:pt idx="740">
                  <c:v>-6.7064714605490678</c:v>
                </c:pt>
                <c:pt idx="741">
                  <c:v>-6.7170332262091179</c:v>
                </c:pt>
                <c:pt idx="742">
                  <c:v>-6.7275949870860234</c:v>
                </c:pt>
                <c:pt idx="743">
                  <c:v>-6.7381567431797702</c:v>
                </c:pt>
                <c:pt idx="744">
                  <c:v>-6.7487184944903422</c:v>
                </c:pt>
                <c:pt idx="745">
                  <c:v>-6.7592802410177244</c:v>
                </c:pt>
                <c:pt idx="746">
                  <c:v>-6.7698419827619016</c:v>
                </c:pt>
                <c:pt idx="747">
                  <c:v>-6.7804037197228588</c:v>
                </c:pt>
                <c:pt idx="748">
                  <c:v>-6.7909654519005809</c:v>
                </c:pt>
                <c:pt idx="749">
                  <c:v>-6.8015271792950518</c:v>
                </c:pt>
                <c:pt idx="750">
                  <c:v>-6.8120889019062565</c:v>
                </c:pt>
                <c:pt idx="751">
                  <c:v>-6.8226506197341799</c:v>
                </c:pt>
                <c:pt idx="752">
                  <c:v>-6.8332123327788068</c:v>
                </c:pt>
                <c:pt idx="753">
                  <c:v>-6.8437740410401213</c:v>
                </c:pt>
                <c:pt idx="754">
                  <c:v>-6.8543357445181083</c:v>
                </c:pt>
                <c:pt idx="755">
                  <c:v>-6.8648974432127536</c:v>
                </c:pt>
                <c:pt idx="756">
                  <c:v>-6.8754591371240412</c:v>
                </c:pt>
                <c:pt idx="757">
                  <c:v>-6.8860208262519551</c:v>
                </c:pt>
                <c:pt idx="758">
                  <c:v>-6.8965825105964811</c:v>
                </c:pt>
                <c:pt idx="759">
                  <c:v>-6.9071441901576032</c:v>
                </c:pt>
                <c:pt idx="760">
                  <c:v>-6.9177058649353063</c:v>
                </c:pt>
                <c:pt idx="761">
                  <c:v>-6.9282675349295753</c:v>
                </c:pt>
                <c:pt idx="762">
                  <c:v>-6.9388292001403951</c:v>
                </c:pt>
                <c:pt idx="763">
                  <c:v>-6.9493908605677497</c:v>
                </c:pt>
                <c:pt idx="764">
                  <c:v>-6.9599525162116249</c:v>
                </c:pt>
                <c:pt idx="765">
                  <c:v>-6.9705141670720048</c:v>
                </c:pt>
                <c:pt idx="766">
                  <c:v>-6.9810758131488742</c:v>
                </c:pt>
                <c:pt idx="767">
                  <c:v>-6.991637454442218</c:v>
                </c:pt>
                <c:pt idx="768">
                  <c:v>-7.0021990909520202</c:v>
                </c:pt>
                <c:pt idx="769">
                  <c:v>-7.0127607226782667</c:v>
                </c:pt>
                <c:pt idx="770">
                  <c:v>-7.0233223496209414</c:v>
                </c:pt>
                <c:pt idx="771">
                  <c:v>-7.0338839717800292</c:v>
                </c:pt>
                <c:pt idx="772">
                  <c:v>-7.0444455891555151</c:v>
                </c:pt>
                <c:pt idx="773">
                  <c:v>-7.055007201747383</c:v>
                </c:pt>
                <c:pt idx="774">
                  <c:v>-7.0655688095556188</c:v>
                </c:pt>
                <c:pt idx="775">
                  <c:v>-7.0761304125802065</c:v>
                </c:pt>
                <c:pt idx="776">
                  <c:v>-7.0866920108211309</c:v>
                </c:pt>
                <c:pt idx="777">
                  <c:v>-7.0972536042783769</c:v>
                </c:pt>
                <c:pt idx="778">
                  <c:v>-7.1078151929519287</c:v>
                </c:pt>
                <c:pt idx="779">
                  <c:v>-7.1183767768417718</c:v>
                </c:pt>
                <c:pt idx="780">
                  <c:v>-7.1289383559478905</c:v>
                </c:pt>
                <c:pt idx="781">
                  <c:v>-7.1394999302702695</c:v>
                </c:pt>
                <c:pt idx="782">
                  <c:v>-7.1500614998088938</c:v>
                </c:pt>
                <c:pt idx="783">
                  <c:v>-7.1606230645637483</c:v>
                </c:pt>
                <c:pt idx="784">
                  <c:v>-7.171184624534817</c:v>
                </c:pt>
                <c:pt idx="785">
                  <c:v>-7.1817461797220856</c:v>
                </c:pt>
                <c:pt idx="786">
                  <c:v>-7.1923077301255383</c:v>
                </c:pt>
                <c:pt idx="787">
                  <c:v>-7.2028692757451598</c:v>
                </c:pt>
                <c:pt idx="788">
                  <c:v>-7.2134308165809342</c:v>
                </c:pt>
                <c:pt idx="789">
                  <c:v>-7.2239923526328473</c:v>
                </c:pt>
                <c:pt idx="790">
                  <c:v>-7.2345538839008832</c:v>
                </c:pt>
                <c:pt idx="791">
                  <c:v>-7.2451154103850275</c:v>
                </c:pt>
                <c:pt idx="792">
                  <c:v>-7.2556769320852643</c:v>
                </c:pt>
                <c:pt idx="793">
                  <c:v>-7.2662384490015786</c:v>
                </c:pt>
                <c:pt idx="794">
                  <c:v>-7.2767999611339542</c:v>
                </c:pt>
                <c:pt idx="795">
                  <c:v>-7.2873614684823771</c:v>
                </c:pt>
                <c:pt idx="796">
                  <c:v>-7.2979229710468312</c:v>
                </c:pt>
                <c:pt idx="797">
                  <c:v>-7.3084844688273014</c:v>
                </c:pt>
                <c:pt idx="798">
                  <c:v>-7.3190459618237727</c:v>
                </c:pt>
                <c:pt idx="799">
                  <c:v>-7.3296074500362298</c:v>
                </c:pt>
                <c:pt idx="800">
                  <c:v>-7.3401689334646569</c:v>
                </c:pt>
                <c:pt idx="801">
                  <c:v>-7.3507304121090398</c:v>
                </c:pt>
                <c:pt idx="802">
                  <c:v>-7.3612918859693623</c:v>
                </c:pt>
                <c:pt idx="803">
                  <c:v>-7.3718533550456096</c:v>
                </c:pt>
                <c:pt idx="804">
                  <c:v>-7.3824148193377663</c:v>
                </c:pt>
                <c:pt idx="805">
                  <c:v>-7.3929762788458175</c:v>
                </c:pt>
                <c:pt idx="806">
                  <c:v>-7.4035377335697472</c:v>
                </c:pt>
                <c:pt idx="807">
                  <c:v>-7.4140991835095402</c:v>
                </c:pt>
                <c:pt idx="808">
                  <c:v>-7.4246606286651824</c:v>
                </c:pt>
                <c:pt idx="809">
                  <c:v>-7.4352220690366577</c:v>
                </c:pt>
                <c:pt idx="810">
                  <c:v>-7.4457835046239502</c:v>
                </c:pt>
                <c:pt idx="811">
                  <c:v>-7.4563449354270457</c:v>
                </c:pt>
                <c:pt idx="812">
                  <c:v>-7.4669063614459281</c:v>
                </c:pt>
                <c:pt idx="813">
                  <c:v>-7.4774677826805833</c:v>
                </c:pt>
                <c:pt idx="814">
                  <c:v>-7.4880291991309953</c:v>
                </c:pt>
                <c:pt idx="815">
                  <c:v>-7.4985906107971489</c:v>
                </c:pt>
                <c:pt idx="816">
                  <c:v>-7.5091520176790283</c:v>
                </c:pt>
                <c:pt idx="817">
                  <c:v>-7.5197134197766191</c:v>
                </c:pt>
                <c:pt idx="818">
                  <c:v>-7.5302748170899054</c:v>
                </c:pt>
                <c:pt idx="819">
                  <c:v>-7.540836209618873</c:v>
                </c:pt>
                <c:pt idx="820">
                  <c:v>-7.5513975973635059</c:v>
                </c:pt>
                <c:pt idx="821">
                  <c:v>-7.561958980323789</c:v>
                </c:pt>
                <c:pt idx="822">
                  <c:v>-7.5725203584997063</c:v>
                </c:pt>
                <c:pt idx="823">
                  <c:v>-7.5830817318912436</c:v>
                </c:pt>
                <c:pt idx="824">
                  <c:v>-7.5936431004983849</c:v>
                </c:pt>
                <c:pt idx="825">
                  <c:v>-7.6042044643211151</c:v>
                </c:pt>
                <c:pt idx="826">
                  <c:v>-7.61476582335942</c:v>
                </c:pt>
                <c:pt idx="827">
                  <c:v>-7.6253271776132827</c:v>
                </c:pt>
                <c:pt idx="828">
                  <c:v>-7.6358885270826891</c:v>
                </c:pt>
                <c:pt idx="829">
                  <c:v>-7.6464498717676239</c:v>
                </c:pt>
                <c:pt idx="830">
                  <c:v>-7.6570112116680713</c:v>
                </c:pt>
                <c:pt idx="831">
                  <c:v>-7.6675725467840161</c:v>
                </c:pt>
                <c:pt idx="832">
                  <c:v>-7.6781338771154433</c:v>
                </c:pt>
                <c:pt idx="833">
                  <c:v>-7.6886952026623376</c:v>
                </c:pt>
                <c:pt idx="834">
                  <c:v>-7.6992565234246841</c:v>
                </c:pt>
                <c:pt idx="835">
                  <c:v>-7.7098178394024668</c:v>
                </c:pt>
                <c:pt idx="836">
                  <c:v>-7.7203791505956714</c:v>
                </c:pt>
                <c:pt idx="837">
                  <c:v>-7.7309404570042819</c:v>
                </c:pt>
                <c:pt idx="838">
                  <c:v>-7.7415017586282833</c:v>
                </c:pt>
                <c:pt idx="839">
                  <c:v>-7.7520630554676604</c:v>
                </c:pt>
                <c:pt idx="840">
                  <c:v>-7.7626243475223982</c:v>
                </c:pt>
                <c:pt idx="841">
                  <c:v>-7.7731856347924806</c:v>
                </c:pt>
                <c:pt idx="842">
                  <c:v>-7.7837469172778935</c:v>
                </c:pt>
                <c:pt idx="843">
                  <c:v>-7.7943081949786208</c:v>
                </c:pt>
                <c:pt idx="844">
                  <c:v>-7.8048694678946475</c:v>
                </c:pt>
                <c:pt idx="845">
                  <c:v>-7.8154307360259585</c:v>
                </c:pt>
                <c:pt idx="846">
                  <c:v>-7.8259919993725386</c:v>
                </c:pt>
                <c:pt idx="847">
                  <c:v>-7.836553257934372</c:v>
                </c:pt>
                <c:pt idx="848">
                  <c:v>-7.8471145117114443</c:v>
                </c:pt>
                <c:pt idx="849">
                  <c:v>-7.8576757607037395</c:v>
                </c:pt>
                <c:pt idx="850">
                  <c:v>-7.8682370049112427</c:v>
                </c:pt>
                <c:pt idx="851">
                  <c:v>-7.8787982443339386</c:v>
                </c:pt>
                <c:pt idx="852">
                  <c:v>-7.8893594789718122</c:v>
                </c:pt>
                <c:pt idx="853">
                  <c:v>-7.8999207088248475</c:v>
                </c:pt>
                <c:pt idx="854">
                  <c:v>-7.9104819338930303</c:v>
                </c:pt>
                <c:pt idx="855">
                  <c:v>-7.9210431541763446</c:v>
                </c:pt>
                <c:pt idx="856">
                  <c:v>-7.9316043696747753</c:v>
                </c:pt>
                <c:pt idx="857">
                  <c:v>-7.9421655803883073</c:v>
                </c:pt>
                <c:pt idx="858">
                  <c:v>-7.9527267863169255</c:v>
                </c:pt>
                <c:pt idx="859">
                  <c:v>-7.9632879874606148</c:v>
                </c:pt>
                <c:pt idx="860">
                  <c:v>-7.9738491838193593</c:v>
                </c:pt>
                <c:pt idx="861">
                  <c:v>-7.9844103753931446</c:v>
                </c:pt>
                <c:pt idx="862">
                  <c:v>-7.9949715621819548</c:v>
                </c:pt>
                <c:pt idx="863">
                  <c:v>-8.0055327441857749</c:v>
                </c:pt>
                <c:pt idx="864">
                  <c:v>-8.0160939214045897</c:v>
                </c:pt>
                <c:pt idx="865">
                  <c:v>-8.026655093838384</c:v>
                </c:pt>
                <c:pt idx="866">
                  <c:v>-8.0372162614871421</c:v>
                </c:pt>
                <c:pt idx="867">
                  <c:v>-8.0477774243508495</c:v>
                </c:pt>
                <c:pt idx="868">
                  <c:v>-8.0583385824294904</c:v>
                </c:pt>
                <c:pt idx="869">
                  <c:v>-8.0688997357230505</c:v>
                </c:pt>
                <c:pt idx="870">
                  <c:v>-8.0794608842315139</c:v>
                </c:pt>
                <c:pt idx="871">
                  <c:v>-8.0900220279548645</c:v>
                </c:pt>
                <c:pt idx="872">
                  <c:v>-8.1005831668930881</c:v>
                </c:pt>
                <c:pt idx="873">
                  <c:v>-8.1111443010461688</c:v>
                </c:pt>
                <c:pt idx="874">
                  <c:v>-8.1217054304140923</c:v>
                </c:pt>
                <c:pt idx="875">
                  <c:v>-8.1322665549968427</c:v>
                </c:pt>
                <c:pt idx="876">
                  <c:v>-8.1428276747944057</c:v>
                </c:pt>
                <c:pt idx="877">
                  <c:v>-8.1533887898067654</c:v>
                </c:pt>
                <c:pt idx="878">
                  <c:v>-8.1639499000339057</c:v>
                </c:pt>
                <c:pt idx="879">
                  <c:v>-8.1745110054758126</c:v>
                </c:pt>
                <c:pt idx="880">
                  <c:v>-8.1850721061324698</c:v>
                </c:pt>
                <c:pt idx="881">
                  <c:v>-8.1956332020038634</c:v>
                </c:pt>
                <c:pt idx="882">
                  <c:v>-8.2061942930899772</c:v>
                </c:pt>
                <c:pt idx="883">
                  <c:v>-8.216755379390797</c:v>
                </c:pt>
                <c:pt idx="884">
                  <c:v>-8.227316460906307</c:v>
                </c:pt>
                <c:pt idx="885">
                  <c:v>-8.237877537636491</c:v>
                </c:pt>
                <c:pt idx="886">
                  <c:v>-8.2484386095813349</c:v>
                </c:pt>
                <c:pt idx="887">
                  <c:v>-8.2589996767408227</c:v>
                </c:pt>
                <c:pt idx="888">
                  <c:v>-8.2695607391149402</c:v>
                </c:pt>
                <c:pt idx="889">
                  <c:v>-8.2801217967036713</c:v>
                </c:pt>
                <c:pt idx="890">
                  <c:v>-8.290682849507002</c:v>
                </c:pt>
                <c:pt idx="891">
                  <c:v>-8.3012438975249161</c:v>
                </c:pt>
                <c:pt idx="892">
                  <c:v>-8.3118049407573977</c:v>
                </c:pt>
                <c:pt idx="893">
                  <c:v>-8.3223659792044327</c:v>
                </c:pt>
                <c:pt idx="894">
                  <c:v>-8.3329270128660049</c:v>
                </c:pt>
                <c:pt idx="895">
                  <c:v>-8.3434880417421002</c:v>
                </c:pt>
                <c:pt idx="896">
                  <c:v>-8.3540490658327027</c:v>
                </c:pt>
                <c:pt idx="897">
                  <c:v>-8.3646100851377962</c:v>
                </c:pt>
                <c:pt idx="898">
                  <c:v>-8.3751710996573667</c:v>
                </c:pt>
                <c:pt idx="899">
                  <c:v>-8.3857321093913999</c:v>
                </c:pt>
                <c:pt idx="900">
                  <c:v>-8.3962931143398798</c:v>
                </c:pt>
                <c:pt idx="901">
                  <c:v>-8.4068541145027904</c:v>
                </c:pt>
                <c:pt idx="902">
                  <c:v>-8.4174151098801175</c:v>
                </c:pt>
                <c:pt idx="903">
                  <c:v>-8.4279761004718452</c:v>
                </c:pt>
                <c:pt idx="904">
                  <c:v>-8.4385370862779592</c:v>
                </c:pt>
                <c:pt idx="905">
                  <c:v>-8.4490980672984435</c:v>
                </c:pt>
                <c:pt idx="906">
                  <c:v>-8.4596590435332821</c:v>
                </c:pt>
                <c:pt idx="907">
                  <c:v>-8.4702200149824609</c:v>
                </c:pt>
                <c:pt idx="908">
                  <c:v>-8.4807809816459638</c:v>
                </c:pt>
                <c:pt idx="909">
                  <c:v>-8.4913419435237767</c:v>
                </c:pt>
                <c:pt idx="910">
                  <c:v>-8.5019029006158835</c:v>
                </c:pt>
                <c:pt idx="911">
                  <c:v>-8.51246385292227</c:v>
                </c:pt>
                <c:pt idx="912">
                  <c:v>-8.5230248004429203</c:v>
                </c:pt>
                <c:pt idx="913">
                  <c:v>-8.5335857431778184</c:v>
                </c:pt>
                <c:pt idx="914">
                  <c:v>-8.54414668112695</c:v>
                </c:pt>
                <c:pt idx="915">
                  <c:v>-8.5547076142903009</c:v>
                </c:pt>
                <c:pt idx="916">
                  <c:v>-8.5652685426678534</c:v>
                </c:pt>
                <c:pt idx="917">
                  <c:v>-8.5758294662595951</c:v>
                </c:pt>
                <c:pt idx="918">
                  <c:v>-8.5863903850655081</c:v>
                </c:pt>
                <c:pt idx="919">
                  <c:v>-8.5969512990855783</c:v>
                </c:pt>
                <c:pt idx="920">
                  <c:v>-8.6075122083197915</c:v>
                </c:pt>
                <c:pt idx="921">
                  <c:v>-8.6180731127681316</c:v>
                </c:pt>
                <c:pt idx="922">
                  <c:v>-8.6286340124305827</c:v>
                </c:pt>
                <c:pt idx="923">
                  <c:v>-8.6391949073071306</c:v>
                </c:pt>
                <c:pt idx="924">
                  <c:v>-8.6497557973977592</c:v>
                </c:pt>
                <c:pt idx="925">
                  <c:v>-8.6603166827024545</c:v>
                </c:pt>
                <c:pt idx="926">
                  <c:v>-8.6708775632212003</c:v>
                </c:pt>
                <c:pt idx="927">
                  <c:v>-8.6814384389539825</c:v>
                </c:pt>
                <c:pt idx="928">
                  <c:v>-8.6919993099007851</c:v>
                </c:pt>
                <c:pt idx="929">
                  <c:v>-8.702560176061592</c:v>
                </c:pt>
                <c:pt idx="930">
                  <c:v>-8.7131210374363892</c:v>
                </c:pt>
                <c:pt idx="931">
                  <c:v>-8.7236818940251624</c:v>
                </c:pt>
                <c:pt idx="932">
                  <c:v>-8.7342427458278937</c:v>
                </c:pt>
                <c:pt idx="933">
                  <c:v>-8.7448035928445709</c:v>
                </c:pt>
                <c:pt idx="934">
                  <c:v>-8.755364435075176</c:v>
                </c:pt>
                <c:pt idx="935">
                  <c:v>-8.765925272519695</c:v>
                </c:pt>
                <c:pt idx="936">
                  <c:v>-8.7764861051781136</c:v>
                </c:pt>
                <c:pt idx="937">
                  <c:v>-8.7870469330504157</c:v>
                </c:pt>
                <c:pt idx="938">
                  <c:v>-8.7976077561365855</c:v>
                </c:pt>
                <c:pt idx="939">
                  <c:v>-8.8081685744366087</c:v>
                </c:pt>
                <c:pt idx="940">
                  <c:v>-8.8187293879504693</c:v>
                </c:pt>
                <c:pt idx="941">
                  <c:v>-8.8292901966781532</c:v>
                </c:pt>
                <c:pt idx="942">
                  <c:v>-8.8398510006196442</c:v>
                </c:pt>
                <c:pt idx="943">
                  <c:v>-8.8504117997749283</c:v>
                </c:pt>
                <c:pt idx="944">
                  <c:v>-8.8609725941439894</c:v>
                </c:pt>
                <c:pt idx="945">
                  <c:v>-8.8715333837268116</c:v>
                </c:pt>
                <c:pt idx="946">
                  <c:v>-8.8820941685233805</c:v>
                </c:pt>
                <c:pt idx="947">
                  <c:v>-8.8926549485336821</c:v>
                </c:pt>
                <c:pt idx="948">
                  <c:v>-8.9032157237577003</c:v>
                </c:pt>
                <c:pt idx="949">
                  <c:v>-8.9137764941954192</c:v>
                </c:pt>
                <c:pt idx="950">
                  <c:v>-8.9243372598468227</c:v>
                </c:pt>
                <c:pt idx="951">
                  <c:v>-8.9348980207118984</c:v>
                </c:pt>
                <c:pt idx="952">
                  <c:v>-8.9454587767906286</c:v>
                </c:pt>
                <c:pt idx="953">
                  <c:v>-8.9560195280829991</c:v>
                </c:pt>
                <c:pt idx="954">
                  <c:v>-8.9665802745889955</c:v>
                </c:pt>
                <c:pt idx="955">
                  <c:v>-8.9771410163086021</c:v>
                </c:pt>
                <c:pt idx="956">
                  <c:v>-8.9877017532418026</c:v>
                </c:pt>
                <c:pt idx="957">
                  <c:v>-8.9982624853885831</c:v>
                </c:pt>
                <c:pt idx="958">
                  <c:v>-9.0088232127489274</c:v>
                </c:pt>
                <c:pt idx="959">
                  <c:v>-9.0193839353228213</c:v>
                </c:pt>
                <c:pt idx="960">
                  <c:v>-9.029944653110249</c:v>
                </c:pt>
                <c:pt idx="961">
                  <c:v>-9.0405053661111943</c:v>
                </c:pt>
                <c:pt idx="962">
                  <c:v>-9.051066074325643</c:v>
                </c:pt>
                <c:pt idx="963">
                  <c:v>-9.0616267777535811</c:v>
                </c:pt>
                <c:pt idx="964">
                  <c:v>-9.0721874763949923</c:v>
                </c:pt>
                <c:pt idx="965">
                  <c:v>-9.0827481702498609</c:v>
                </c:pt>
                <c:pt idx="966">
                  <c:v>-9.0933088593181726</c:v>
                </c:pt>
                <c:pt idx="967">
                  <c:v>-9.1038695435999113</c:v>
                </c:pt>
                <c:pt idx="968">
                  <c:v>-9.1144302230950629</c:v>
                </c:pt>
                <c:pt idx="969">
                  <c:v>-9.1249908978036114</c:v>
                </c:pt>
                <c:pt idx="970">
                  <c:v>-9.1355515677255426</c:v>
                </c:pt>
                <c:pt idx="971">
                  <c:v>-9.1461122328608404</c:v>
                </c:pt>
                <c:pt idx="972">
                  <c:v>-9.156672893209489</c:v>
                </c:pt>
                <c:pt idx="973">
                  <c:v>-9.167233548771474</c:v>
                </c:pt>
                <c:pt idx="974">
                  <c:v>-9.1777941995467813</c:v>
                </c:pt>
                <c:pt idx="975">
                  <c:v>-9.1883548455353932</c:v>
                </c:pt>
                <c:pt idx="976">
                  <c:v>-9.1989154867372971</c:v>
                </c:pt>
                <c:pt idx="977">
                  <c:v>-9.2094761231524753</c:v>
                </c:pt>
                <c:pt idx="978">
                  <c:v>-9.2200367547809137</c:v>
                </c:pt>
                <c:pt idx="979">
                  <c:v>-9.2305973816225979</c:v>
                </c:pt>
                <c:pt idx="980">
                  <c:v>-9.2411580036775121</c:v>
                </c:pt>
                <c:pt idx="981">
                  <c:v>-9.2517186209456419</c:v>
                </c:pt>
                <c:pt idx="982">
                  <c:v>-9.2622792334269715</c:v>
                </c:pt>
                <c:pt idx="983">
                  <c:v>-9.2728398411214847</c:v>
                </c:pt>
                <c:pt idx="984">
                  <c:v>-9.2834004440291675</c:v>
                </c:pt>
                <c:pt idx="985">
                  <c:v>-9.2939610421500038</c:v>
                </c:pt>
                <c:pt idx="986">
                  <c:v>-9.3045216354839795</c:v>
                </c:pt>
                <c:pt idx="987">
                  <c:v>-9.3150822240310784</c:v>
                </c:pt>
                <c:pt idx="988">
                  <c:v>-9.3256428077912865</c:v>
                </c:pt>
                <c:pt idx="989">
                  <c:v>-9.3362033867645877</c:v>
                </c:pt>
                <c:pt idx="990">
                  <c:v>-9.3467639609509678</c:v>
                </c:pt>
                <c:pt idx="991">
                  <c:v>-9.3573245303504109</c:v>
                </c:pt>
                <c:pt idx="992">
                  <c:v>-9.3678850949629009</c:v>
                </c:pt>
                <c:pt idx="993">
                  <c:v>-9.3784456547884236</c:v>
                </c:pt>
                <c:pt idx="994">
                  <c:v>-9.3890062098269631</c:v>
                </c:pt>
                <c:pt idx="995">
                  <c:v>-9.3995667600785051</c:v>
                </c:pt>
                <c:pt idx="996">
                  <c:v>-9.4101273055430337</c:v>
                </c:pt>
                <c:pt idx="997">
                  <c:v>-9.4206878462205346</c:v>
                </c:pt>
                <c:pt idx="998">
                  <c:v>-9.4312483821109918</c:v>
                </c:pt>
                <c:pt idx="999">
                  <c:v>-9.4418089132143912</c:v>
                </c:pt>
                <c:pt idx="1000">
                  <c:v>-9.4523694395307167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2-4CA2-BA56-E0E46E48A26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2-4CA2-BA56-E0E46E48A26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249.76</c:v>
                </c:pt>
                <c:pt idx="1">
                  <c:v>249.98606828231817</c:v>
                </c:pt>
                <c:pt idx="2">
                  <c:v>250.21301243479186</c:v>
                </c:pt>
                <c:pt idx="3">
                  <c:v>250.44161547829367</c:v>
                </c:pt>
                <c:pt idx="4">
                  <c:v>250.67202008282982</c:v>
                </c:pt>
                <c:pt idx="5">
                  <c:v>250.90409064077559</c:v>
                </c:pt>
                <c:pt idx="6">
                  <c:v>251.13777621963129</c:v>
                </c:pt>
                <c:pt idx="7">
                  <c:v>251.37306826172048</c:v>
                </c:pt>
                <c:pt idx="8">
                  <c:v>251.60995817713072</c:v>
                </c:pt>
                <c:pt idx="9">
                  <c:v>251.84843734436157</c:v>
                </c:pt>
                <c:pt idx="10">
                  <c:v>252.08849711096676</c:v>
                </c:pt>
                <c:pt idx="11">
                  <c:v>252.33012879419087</c:v>
                </c:pt>
                <c:pt idx="12">
                  <c:v>252.57332368160061</c:v>
                </c:pt>
                <c:pt idx="13">
                  <c:v>252.81807303171041</c:v>
                </c:pt>
                <c:pt idx="14">
                  <c:v>253.06436807460281</c:v>
                </c:pt>
                <c:pt idx="15">
                  <c:v>253.31220001254349</c:v>
                </c:pt>
                <c:pt idx="16">
                  <c:v>253.56156002059103</c:v>
                </c:pt>
                <c:pt idx="17">
                  <c:v>253.8124392472015</c:v>
                </c:pt>
                <c:pt idx="18">
                  <c:v>254.06482881482779</c:v>
                </c:pt>
                <c:pt idx="19">
                  <c:v>254.31871982051396</c:v>
                </c:pt>
                <c:pt idx="20">
                  <c:v>254.5741033364844</c:v>
                </c:pt>
                <c:pt idx="21">
                  <c:v>254.83097041072813</c:v>
                </c:pt>
                <c:pt idx="22">
                  <c:v>255.08931206757788</c:v>
                </c:pt>
                <c:pt idx="23">
                  <c:v>255.34911930828443</c:v>
                </c:pt>
                <c:pt idx="24">
                  <c:v>255.61038311158595</c:v>
                </c:pt>
                <c:pt idx="25">
                  <c:v>255.87309443427239</c:v>
                </c:pt>
                <c:pt idx="26">
                  <c:v>256.13724421174516</c:v>
                </c:pt>
                <c:pt idx="27">
                  <c:v>256.40282335857182</c:v>
                </c:pt>
                <c:pt idx="28">
                  <c:v>256.66982276903616</c:v>
                </c:pt>
                <c:pt idx="29">
                  <c:v>256.93823331768328</c:v>
                </c:pt>
                <c:pt idx="30">
                  <c:v>257.20804585986002</c:v>
                </c:pt>
                <c:pt idx="31">
                  <c:v>257.4792512322507</c:v>
                </c:pt>
                <c:pt idx="32">
                  <c:v>257.75184025340815</c:v>
                </c:pt>
                <c:pt idx="33">
                  <c:v>258.02580372427991</c:v>
                </c:pt>
                <c:pt idx="34">
                  <c:v>258.30113242872983</c:v>
                </c:pt>
                <c:pt idx="35">
                  <c:v>258.57781713405507</c:v>
                </c:pt>
                <c:pt idx="36">
                  <c:v>258.85584859149839</c:v>
                </c:pt>
                <c:pt idx="37">
                  <c:v>259.13521753675576</c:v>
                </c:pt>
                <c:pt idx="38">
                  <c:v>259.41591469047944</c:v>
                </c:pt>
                <c:pt idx="39">
                  <c:v>259.69793075877635</c:v>
                </c:pt>
                <c:pt idx="40">
                  <c:v>259.98125643370201</c:v>
                </c:pt>
                <c:pt idx="41">
                  <c:v>260.26588239374973</c:v>
                </c:pt>
                <c:pt idx="42">
                  <c:v>260.5517993043353</c:v>
                </c:pt>
                <c:pt idx="43">
                  <c:v>260.83899781827705</c:v>
                </c:pt>
                <c:pt idx="44">
                  <c:v>261.12746857627144</c:v>
                </c:pt>
                <c:pt idx="45">
                  <c:v>261.41720220736414</c:v>
                </c:pt>
                <c:pt idx="46">
                  <c:v>261.70818932941643</c:v>
                </c:pt>
                <c:pt idx="47">
                  <c:v>262.00042054956714</c:v>
                </c:pt>
                <c:pt idx="48">
                  <c:v>262.2938864646901</c:v>
                </c:pt>
                <c:pt idx="49">
                  <c:v>262.58857766184707</c:v>
                </c:pt>
                <c:pt idx="50">
                  <c:v>262.88448471873613</c:v>
                </c:pt>
                <c:pt idx="51">
                  <c:v>263.18159820413553</c:v>
                </c:pt>
                <c:pt idx="52">
                  <c:v>263.47990867834318</c:v>
                </c:pt>
                <c:pt idx="53">
                  <c:v>263.77940669361163</c:v>
                </c:pt>
                <c:pt idx="54">
                  <c:v>264.08008279457835</c:v>
                </c:pt>
                <c:pt idx="55">
                  <c:v>264.3819275186919</c:v>
                </c:pt>
                <c:pt idx="56">
                  <c:v>264.68493139663337</c:v>
                </c:pt>
                <c:pt idx="57">
                  <c:v>264.98908495273338</c:v>
                </c:pt>
                <c:pt idx="58">
                  <c:v>265.29437870538476</c:v>
                </c:pt>
                <c:pt idx="59">
                  <c:v>265.60080316745081</c:v>
                </c:pt>
                <c:pt idx="60">
                  <c:v>265.90834884666884</c:v>
                </c:pt>
                <c:pt idx="61">
                  <c:v>266.21700624604961</c:v>
                </c:pt>
                <c:pt idx="62">
                  <c:v>266.52676586427214</c:v>
                </c:pt>
                <c:pt idx="63">
                  <c:v>266.83761432252544</c:v>
                </c:pt>
                <c:pt idx="64">
                  <c:v>267.1495304891327</c:v>
                </c:pt>
                <c:pt idx="65">
                  <c:v>267.46248935704352</c:v>
                </c:pt>
                <c:pt idx="66">
                  <c:v>267.77646592398725</c:v>
                </c:pt>
                <c:pt idx="67">
                  <c:v>268.09143163263286</c:v>
                </c:pt>
                <c:pt idx="68">
                  <c:v>268.40735080943523</c:v>
                </c:pt>
                <c:pt idx="69">
                  <c:v>268.7241778889271</c:v>
                </c:pt>
                <c:pt idx="70">
                  <c:v>269.04185463864258</c:v>
                </c:pt>
                <c:pt idx="71">
                  <c:v>269.36031651411179</c:v>
                </c:pt>
                <c:pt idx="72">
                  <c:v>269.679499016433</c:v>
                </c:pt>
                <c:pt idx="73">
                  <c:v>269.99933769726402</c:v>
                </c:pt>
                <c:pt idx="74">
                  <c:v>270.31976816365972</c:v>
                </c:pt>
                <c:pt idx="75">
                  <c:v>270.64072608275609</c:v>
                </c:pt>
                <c:pt idx="76">
                  <c:v>270.96214718630119</c:v>
                </c:pt>
                <c:pt idx="77">
                  <c:v>271.28396727503264</c:v>
                </c:pt>
                <c:pt idx="78">
                  <c:v>271.60612222290257</c:v>
                </c:pt>
                <c:pt idx="79">
                  <c:v>271.92854798115019</c:v>
                </c:pt>
                <c:pt idx="80">
                  <c:v>272.25118058222205</c:v>
                </c:pt>
                <c:pt idx="81">
                  <c:v>272.57396374607112</c:v>
                </c:pt>
                <c:pt idx="82">
                  <c:v>272.89685648021845</c:v>
                </c:pt>
                <c:pt idx="83">
                  <c:v>273.21982545750478</c:v>
                </c:pt>
                <c:pt idx="84">
                  <c:v>273.54283739856527</c:v>
                </c:pt>
                <c:pt idx="85">
                  <c:v>273.86585907262486</c:v>
                </c:pt>
                <c:pt idx="86">
                  <c:v>274.18885729825342</c:v>
                </c:pt>
                <c:pt idx="87">
                  <c:v>274.51179894408034</c:v>
                </c:pt>
                <c:pt idx="88">
                  <c:v>274.83465092946949</c:v>
                </c:pt>
                <c:pt idx="89">
                  <c:v>275.15738263822772</c:v>
                </c:pt>
                <c:pt idx="90">
                  <c:v>275.47996832973212</c:v>
                </c:pt>
                <c:pt idx="91">
                  <c:v>275.80238471831007</c:v>
                </c:pt>
                <c:pt idx="92">
                  <c:v>276.12460855495272</c:v>
                </c:pt>
                <c:pt idx="93">
                  <c:v>276.44661723215603</c:v>
                </c:pt>
                <c:pt idx="94">
                  <c:v>276.76838938805793</c:v>
                </c:pt>
                <c:pt idx="95">
                  <c:v>277.08990429977058</c:v>
                </c:pt>
                <c:pt idx="96">
                  <c:v>277.41114127735403</c:v>
                </c:pt>
                <c:pt idx="97">
                  <c:v>277.73208208808222</c:v>
                </c:pt>
                <c:pt idx="98">
                  <c:v>278.05271337779374</c:v>
                </c:pt>
                <c:pt idx="99">
                  <c:v>278.37302423811587</c:v>
                </c:pt>
                <c:pt idx="100">
                  <c:v>278.69300377653713</c:v>
                </c:pt>
                <c:pt idx="101">
                  <c:v>279.01264111630417</c:v>
                </c:pt>
                <c:pt idx="102">
                  <c:v>279.33192539631489</c:v>
                </c:pt>
                <c:pt idx="103">
                  <c:v>279.65084577100822</c:v>
                </c:pt>
                <c:pt idx="104">
                  <c:v>279.96939141025013</c:v>
                </c:pt>
                <c:pt idx="105">
                  <c:v>280.28755149921608</c:v>
                </c:pt>
                <c:pt idx="106">
                  <c:v>280.60531523827024</c:v>
                </c:pt>
                <c:pt idx="107">
                  <c:v>280.92267184284077</c:v>
                </c:pt>
                <c:pt idx="108">
                  <c:v>281.23961054329214</c:v>
                </c:pt>
                <c:pt idx="109">
                  <c:v>281.55612363485687</c:v>
                </c:pt>
                <c:pt idx="110">
                  <c:v>281.87220952376492</c:v>
                </c:pt>
                <c:pt idx="111">
                  <c:v>282.18786966627374</c:v>
                </c:pt>
                <c:pt idx="112">
                  <c:v>282.50310551158947</c:v>
                </c:pt>
                <c:pt idx="113">
                  <c:v>282.8179185019132</c:v>
                </c:pt>
                <c:pt idx="114">
                  <c:v>283.13231007248692</c:v>
                </c:pt>
                <c:pt idx="115">
                  <c:v>283.44628165163908</c:v>
                </c:pt>
                <c:pt idx="116">
                  <c:v>283.75983466082965</c:v>
                </c:pt>
                <c:pt idx="117">
                  <c:v>284.0729705146951</c:v>
                </c:pt>
                <c:pt idx="118">
                  <c:v>284.38569062109269</c:v>
                </c:pt>
                <c:pt idx="119">
                  <c:v>284.69799638114455</c:v>
                </c:pt>
                <c:pt idx="120">
                  <c:v>285.00988918928147</c:v>
                </c:pt>
                <c:pt idx="121">
                  <c:v>285.32137043328623</c:v>
                </c:pt>
                <c:pt idx="122">
                  <c:v>285.6324414943366</c:v>
                </c:pt>
                <c:pt idx="123">
                  <c:v>285.94310374704799</c:v>
                </c:pt>
                <c:pt idx="124">
                  <c:v>286.25335855951573</c:v>
                </c:pt>
                <c:pt idx="125">
                  <c:v>286.56320729335715</c:v>
                </c:pt>
                <c:pt idx="126">
                  <c:v>286.87265130375306</c:v>
                </c:pt>
                <c:pt idx="127">
                  <c:v>287.18169193948927</c:v>
                </c:pt>
                <c:pt idx="128">
                  <c:v>287.49033054299736</c:v>
                </c:pt>
                <c:pt idx="129">
                  <c:v>287.79856845039541</c:v>
                </c:pt>
                <c:pt idx="130">
                  <c:v>288.10640699152822</c:v>
                </c:pt>
                <c:pt idx="131">
                  <c:v>288.41384749000753</c:v>
                </c:pt>
                <c:pt idx="132">
                  <c:v>288.72089126325142</c:v>
                </c:pt>
                <c:pt idx="133">
                  <c:v>289.02753962252382</c:v>
                </c:pt>
                <c:pt idx="134">
                  <c:v>289.33379387297356</c:v>
                </c:pt>
                <c:pt idx="135">
                  <c:v>289.63965531367307</c:v>
                </c:pt>
                <c:pt idx="136">
                  <c:v>289.94512523765684</c:v>
                </c:pt>
                <c:pt idx="137">
                  <c:v>290.25020493195944</c:v>
                </c:pt>
                <c:pt idx="138">
                  <c:v>290.55489567765352</c:v>
                </c:pt>
                <c:pt idx="139">
                  <c:v>290.85919874988713</c:v>
                </c:pt>
                <c:pt idx="140">
                  <c:v>291.16311541792118</c:v>
                </c:pt>
                <c:pt idx="141">
                  <c:v>291.46664694516619</c:v>
                </c:pt>
                <c:pt idx="142">
                  <c:v>291.76979458921903</c:v>
                </c:pt>
                <c:pt idx="143">
                  <c:v>292.07255960189923</c:v>
                </c:pt>
                <c:pt idx="144">
                  <c:v>292.37494322928507</c:v>
                </c:pt>
                <c:pt idx="145">
                  <c:v>292.67694671174945</c:v>
                </c:pt>
                <c:pt idx="146">
                  <c:v>292.97857128399534</c:v>
                </c:pt>
                <c:pt idx="147">
                  <c:v>293.27981817509095</c:v>
                </c:pt>
                <c:pt idx="148">
                  <c:v>293.58068860850489</c:v>
                </c:pt>
                <c:pt idx="149">
                  <c:v>293.88118380214058</c:v>
                </c:pt>
                <c:pt idx="150">
                  <c:v>294.18130496837102</c:v>
                </c:pt>
                <c:pt idx="151">
                  <c:v>294.4810533140726</c:v>
                </c:pt>
                <c:pt idx="152">
                  <c:v>294.78043004065927</c:v>
                </c:pt>
                <c:pt idx="153">
                  <c:v>295.079436344116</c:v>
                </c:pt>
                <c:pt idx="154">
                  <c:v>295.37807341503225</c:v>
                </c:pt>
                <c:pt idx="155">
                  <c:v>295.67634243863506</c:v>
                </c:pt>
                <c:pt idx="156">
                  <c:v>295.97424459482193</c:v>
                </c:pt>
                <c:pt idx="157">
                  <c:v>296.27178105819337</c:v>
                </c:pt>
                <c:pt idx="158">
                  <c:v>296.56895299808536</c:v>
                </c:pt>
                <c:pt idx="159">
                  <c:v>296.86576157860139</c:v>
                </c:pt>
                <c:pt idx="160">
                  <c:v>297.16220795864433</c:v>
                </c:pt>
                <c:pt idx="161">
                  <c:v>297.45829329194811</c:v>
                </c:pt>
                <c:pt idx="162">
                  <c:v>297.75401872710904</c:v>
                </c:pt>
                <c:pt idx="163">
                  <c:v>298.04938540761708</c:v>
                </c:pt>
                <c:pt idx="164">
                  <c:v>298.34439447188657</c:v>
                </c:pt>
                <c:pt idx="165">
                  <c:v>298.63904705328707</c:v>
                </c:pt>
                <c:pt idx="166">
                  <c:v>298.9333442801738</c:v>
                </c:pt>
                <c:pt idx="167">
                  <c:v>299.22728727591766</c:v>
                </c:pt>
                <c:pt idx="168">
                  <c:v>299.52087715893549</c:v>
                </c:pt>
                <c:pt idx="169">
                  <c:v>299.81411504271972</c:v>
                </c:pt>
                <c:pt idx="170">
                  <c:v>300.10700203586777</c:v>
                </c:pt>
                <c:pt idx="171">
                  <c:v>300.39953924211164</c:v>
                </c:pt>
                <c:pt idx="172">
                  <c:v>300.69172776034679</c:v>
                </c:pt>
                <c:pt idx="173">
                  <c:v>300.98356868466118</c:v>
                </c:pt>
                <c:pt idx="174">
                  <c:v>301.27506310436377</c:v>
                </c:pt>
                <c:pt idx="175">
                  <c:v>301.56621210401312</c:v>
                </c:pt>
                <c:pt idx="176">
                  <c:v>301.85701676344553</c:v>
                </c:pt>
                <c:pt idx="177">
                  <c:v>302.14747815780322</c:v>
                </c:pt>
                <c:pt idx="178">
                  <c:v>302.43759735756191</c:v>
                </c:pt>
                <c:pt idx="179">
                  <c:v>302.72737542855873</c:v>
                </c:pt>
                <c:pt idx="180">
                  <c:v>303.01681343201932</c:v>
                </c:pt>
                <c:pt idx="181">
                  <c:v>303.30591242458536</c:v>
                </c:pt>
                <c:pt idx="182">
                  <c:v>303.59467345834133</c:v>
                </c:pt>
                <c:pt idx="183">
                  <c:v>303.88309758084142</c:v>
                </c:pt>
                <c:pt idx="184">
                  <c:v>304.17118583513621</c:v>
                </c:pt>
                <c:pt idx="185">
                  <c:v>304.45893925979897</c:v>
                </c:pt>
                <c:pt idx="186">
                  <c:v>304.74635888895187</c:v>
                </c:pt>
                <c:pt idx="187">
                  <c:v>305.03344575229221</c:v>
                </c:pt>
                <c:pt idx="188">
                  <c:v>305.32020087511808</c:v>
                </c:pt>
                <c:pt idx="189">
                  <c:v>305.60662527835399</c:v>
                </c:pt>
                <c:pt idx="190">
                  <c:v>305.89271997857657</c:v>
                </c:pt>
                <c:pt idx="191">
                  <c:v>306.17848598803954</c:v>
                </c:pt>
                <c:pt idx="192">
                  <c:v>306.46392431469911</c:v>
                </c:pt>
                <c:pt idx="193">
                  <c:v>306.74903596223862</c:v>
                </c:pt>
                <c:pt idx="194">
                  <c:v>307.0338219300935</c:v>
                </c:pt>
                <c:pt idx="195">
                  <c:v>307.31828321347575</c:v>
                </c:pt>
                <c:pt idx="196">
                  <c:v>307.60242080339822</c:v>
                </c:pt>
                <c:pt idx="197">
                  <c:v>307.88623568669897</c:v>
                </c:pt>
                <c:pt idx="198">
                  <c:v>308.16972884606525</c:v>
                </c:pt>
                <c:pt idx="199">
                  <c:v>308.45290126005727</c:v>
                </c:pt>
                <c:pt idx="200">
                  <c:v>308.73575390313204</c:v>
                </c:pt>
                <c:pt idx="201">
                  <c:v>311.54676809189755</c:v>
                </c:pt>
                <c:pt idx="202">
                  <c:v>314.32642912609884</c:v>
                </c:pt>
                <c:pt idx="203">
                  <c:v>317.07567436121542</c:v>
                </c:pt>
                <c:pt idx="204">
                  <c:v>319.79540302279918</c:v>
                </c:pt>
                <c:pt idx="205">
                  <c:v>322.48647830835705</c:v>
                </c:pt>
                <c:pt idx="206">
                  <c:v>325.14972934609784</c:v>
                </c:pt>
                <c:pt idx="207">
                  <c:v>327.78595302214762</c:v>
                </c:pt>
                <c:pt idx="208">
                  <c:v>330.39591568674939</c:v>
                </c:pt>
                <c:pt idx="209">
                  <c:v>332.98035474899262</c:v>
                </c:pt>
                <c:pt idx="210">
                  <c:v>335.53998016874681</c:v>
                </c:pt>
                <c:pt idx="211">
                  <c:v>338.07547585369349</c:v>
                </c:pt>
                <c:pt idx="212">
                  <c:v>340.58750096864975</c:v>
                </c:pt>
                <c:pt idx="213">
                  <c:v>343.07669116374575</c:v>
                </c:pt>
                <c:pt idx="214">
                  <c:v>345.54365972745057</c:v>
                </c:pt>
                <c:pt idx="215">
                  <c:v>347.98899866992866</c:v>
                </c:pt>
                <c:pt idx="216">
                  <c:v>350.41327974174567</c:v>
                </c:pt>
                <c:pt idx="217">
                  <c:v>352.81705539252454</c:v>
                </c:pt>
                <c:pt idx="218">
                  <c:v>355.20085967377287</c:v>
                </c:pt>
                <c:pt idx="219">
                  <c:v>357.56520908975921</c:v>
                </c:pt>
                <c:pt idx="220">
                  <c:v>359.91060340000388</c:v>
                </c:pt>
                <c:pt idx="221">
                  <c:v>362.23752637666558</c:v>
                </c:pt>
                <c:pt idx="222">
                  <c:v>364.54644651984813</c:v>
                </c:pt>
                <c:pt idx="223">
                  <c:v>366.83781773361466</c:v>
                </c:pt>
                <c:pt idx="224">
                  <c:v>369.11207996528378</c:v>
                </c:pt>
                <c:pt idx="225">
                  <c:v>371.36965981038543</c:v>
                </c:pt>
                <c:pt idx="226">
                  <c:v>373.61097108547494</c:v>
                </c:pt>
                <c:pt idx="227">
                  <c:v>375.83641537084065</c:v>
                </c:pt>
                <c:pt idx="228">
                  <c:v>378.04638252498978</c:v>
                </c:pt>
                <c:pt idx="229">
                  <c:v>380.24125117265953</c:v>
                </c:pt>
                <c:pt idx="230">
                  <c:v>382.42138916797501</c:v>
                </c:pt>
                <c:pt idx="231">
                  <c:v>384.58715403425799</c:v>
                </c:pt>
                <c:pt idx="232">
                  <c:v>386.7388933818853</c:v>
                </c:pt>
                <c:pt idx="233">
                  <c:v>388.87694530549624</c:v>
                </c:pt>
                <c:pt idx="234">
                  <c:v>391.00163876175816</c:v>
                </c:pt>
                <c:pt idx="235">
                  <c:v>393.11329392881657</c:v>
                </c:pt>
                <c:pt idx="236">
                  <c:v>395.21222254847731</c:v>
                </c:pt>
                <c:pt idx="237">
                  <c:v>397.29872825209884</c:v>
                </c:pt>
                <c:pt idx="238">
                  <c:v>399.37310687110539</c:v>
                </c:pt>
                <c:pt idx="239">
                  <c:v>401.43564673297124</c:v>
                </c:pt>
                <c:pt idx="240">
                  <c:v>403.48662894346955</c:v>
                </c:pt>
                <c:pt idx="241">
                  <c:v>405.52632765592642</c:v>
                </c:pt>
                <c:pt idx="242">
                  <c:v>407.55501032817216</c:v>
                </c:pt>
                <c:pt idx="243">
                  <c:v>409.57293796783631</c:v>
                </c:pt>
                <c:pt idx="244">
                  <c:v>411.58036536658989</c:v>
                </c:pt>
                <c:pt idx="245">
                  <c:v>413.57754132389988</c:v>
                </c:pt>
                <c:pt idx="246">
                  <c:v>415.56470886082292</c:v>
                </c:pt>
                <c:pt idx="247">
                  <c:v>417.54210542433111</c:v>
                </c:pt>
                <c:pt idx="248">
                  <c:v>419.50996308263052</c:v>
                </c:pt>
                <c:pt idx="249">
                  <c:v>421.4685087119019</c:v>
                </c:pt>
                <c:pt idx="250">
                  <c:v>423.41796417486472</c:v>
                </c:pt>
                <c:pt idx="251">
                  <c:v>425.35854649153879</c:v>
                </c:pt>
                <c:pt idx="252">
                  <c:v>427.29046800255151</c:v>
                </c:pt>
                <c:pt idx="253">
                  <c:v>429.21393652531498</c:v>
                </c:pt>
                <c:pt idx="254">
                  <c:v>431.1291555033734</c:v>
                </c:pt>
                <c:pt idx="255">
                  <c:v>433.03632414919946</c:v>
                </c:pt>
                <c:pt idx="256">
                  <c:v>434.93563758069706</c:v>
                </c:pt>
                <c:pt idx="257">
                  <c:v>436.82728695164707</c:v>
                </c:pt>
                <c:pt idx="258">
                  <c:v>438.71145957631251</c:v>
                </c:pt>
                <c:pt idx="259">
                  <c:v>440.58833904840083</c:v>
                </c:pt>
                <c:pt idx="260">
                  <c:v>442.45810535456167</c:v>
                </c:pt>
                <c:pt idx="261">
                  <c:v>444.3209349825791</c:v>
                </c:pt>
                <c:pt idx="262">
                  <c:v>446.17700102439937</c:v>
                </c:pt>
                <c:pt idx="263">
                  <c:v>448.02647327411603</c:v>
                </c:pt>
                <c:pt idx="264">
                  <c:v>449.86951832101539</c:v>
                </c:pt>
                <c:pt idx="265">
                  <c:v>451.70629963776634</c:v>
                </c:pt>
                <c:pt idx="266">
                  <c:v>453.53697766381805</c:v>
                </c:pt>
                <c:pt idx="267">
                  <c:v>455.36170988404933</c:v>
                </c:pt>
                <c:pt idx="268">
                  <c:v>457.18065090269192</c:v>
                </c:pt>
                <c:pt idx="269">
                  <c:v>458.99395251252713</c:v>
                </c:pt>
                <c:pt idx="270">
                  <c:v>460.80176375933235</c:v>
                </c:pt>
                <c:pt idx="271">
                  <c:v>462.60423100152792</c:v>
                </c:pt>
                <c:pt idx="272">
                  <c:v>464.40149796494836</c:v>
                </c:pt>
                <c:pt idx="273">
                  <c:v>466.19370579263233</c:v>
                </c:pt>
                <c:pt idx="274">
                  <c:v>467.98099308949492</c:v>
                </c:pt>
                <c:pt idx="275">
                  <c:v>469.76349596171065</c:v>
                </c:pt>
                <c:pt idx="276">
                  <c:v>471.54134805059886</c:v>
                </c:pt>
                <c:pt idx="277">
                  <c:v>473.31468056076255</c:v>
                </c:pt>
                <c:pt idx="278">
                  <c:v>475.08362228218692</c:v>
                </c:pt>
                <c:pt idx="279">
                  <c:v>476.84829960595516</c:v>
                </c:pt>
                <c:pt idx="280">
                  <c:v>478.60883653318695</c:v>
                </c:pt>
                <c:pt idx="281">
                  <c:v>480.36535467674668</c:v>
                </c:pt>
                <c:pt idx="282">
                  <c:v>482.117973255207</c:v>
                </c:pt>
                <c:pt idx="283">
                  <c:v>483.86680907848671</c:v>
                </c:pt>
                <c:pt idx="284">
                  <c:v>485.61197652451062</c:v>
                </c:pt>
                <c:pt idx="285">
                  <c:v>487.35358750616649</c:v>
                </c:pt>
                <c:pt idx="286">
                  <c:v>489.09175142775774</c:v>
                </c:pt>
                <c:pt idx="287">
                  <c:v>490.82657513007575</c:v>
                </c:pt>
                <c:pt idx="288">
                  <c:v>492.55816282314584</c:v>
                </c:pt>
                <c:pt idx="289">
                  <c:v>494.28661600563817</c:v>
                </c:pt>
                <c:pt idx="290">
                  <c:v>496.01203336988993</c:v>
                </c:pt>
                <c:pt idx="291">
                  <c:v>497.73451069146387</c:v>
                </c:pt>
                <c:pt idx="292">
                  <c:v>499.45414070218595</c:v>
                </c:pt>
                <c:pt idx="293">
                  <c:v>501.17101294567385</c:v>
                </c:pt>
                <c:pt idx="294">
                  <c:v>502.88521361451126</c:v>
                </c:pt>
                <c:pt idx="295">
                  <c:v>504.59682536846037</c:v>
                </c:pt>
                <c:pt idx="296">
                  <c:v>506.30592713346505</c:v>
                </c:pt>
                <c:pt idx="297">
                  <c:v>508.01259388170655</c:v>
                </c:pt>
                <c:pt idx="298">
                  <c:v>509.71689639365979</c:v>
                </c:pt>
                <c:pt idx="299">
                  <c:v>511.41890100397842</c:v>
                </c:pt>
                <c:pt idx="300">
                  <c:v>513.11866933412125</c:v>
                </c:pt>
                <c:pt idx="301">
                  <c:v>514.8162580159011</c:v>
                </c:pt>
                <c:pt idx="302">
                  <c:v>516.51171841154087</c:v>
                </c:pt>
                <c:pt idx="303">
                  <c:v>518.20509633727534</c:v>
                </c:pt>
                <c:pt idx="304">
                  <c:v>519.89643179889322</c:v>
                </c:pt>
                <c:pt idx="305">
                  <c:v>521.58575874870905</c:v>
                </c:pt>
                <c:pt idx="306">
                  <c:v>523.27310487407067</c:v>
                </c:pt>
                <c:pt idx="307">
                  <c:v>524.95849142746761</c:v>
                </c:pt>
                <c:pt idx="308">
                  <c:v>526.64193310745384</c:v>
                </c:pt>
                <c:pt idx="309">
                  <c:v>528.32343799789692</c:v>
                </c:pt>
                <c:pt idx="310">
                  <c:v>530.00300757059063</c:v>
                </c:pt>
                <c:pt idx="311">
                  <c:v>531.68063675323992</c:v>
                </c:pt>
                <c:pt idx="312">
                  <c:v>533.35631406156301</c:v>
                </c:pt>
                <c:pt idx="313">
                  <c:v>535.03002179112571</c:v>
                </c:pt>
                <c:pt idx="314">
                  <c:v>536.70173626187125</c:v>
                </c:pt>
                <c:pt idx="315">
                  <c:v>538.37142810638261</c:v>
                </c:pt>
                <c:pt idx="316">
                  <c:v>540.03906259184191</c:v>
                </c:pt>
                <c:pt idx="317">
                  <c:v>541.70459996541786</c:v>
                </c:pt>
                <c:pt idx="318">
                  <c:v>543.36799581329421</c:v>
                </c:pt>
                <c:pt idx="319">
                  <c:v>545.02920142456969</c:v>
                </c:pt>
                <c:pt idx="320">
                  <c:v>546.68816415260028</c:v>
                </c:pt>
                <c:pt idx="321">
                  <c:v>548.34482776783136</c:v>
                </c:pt>
                <c:pt idx="322">
                  <c:v>549.99913279762791</c:v>
                </c:pt>
                <c:pt idx="323">
                  <c:v>551.65101684994772</c:v>
                </c:pt>
                <c:pt idx="324">
                  <c:v>553.300414918858</c:v>
                </c:pt>
                <c:pt idx="325">
                  <c:v>554.9472596708456</c:v>
                </c:pt>
                <c:pt idx="326">
                  <c:v>556.59148171161382</c:v>
                </c:pt>
                <c:pt idx="327">
                  <c:v>558.23300983361594</c:v>
                </c:pt>
                <c:pt idx="328">
                  <c:v>559.87177124497134</c:v>
                </c:pt>
                <c:pt idx="329">
                  <c:v>561.50769178067537</c:v>
                </c:pt>
                <c:pt idx="330">
                  <c:v>563.14069609717296</c:v>
                </c:pt>
                <c:pt idx="331">
                  <c:v>564.77070785144883</c:v>
                </c:pt>
                <c:pt idx="332">
                  <c:v>566.39764986581019</c:v>
                </c:pt>
                <c:pt idx="333">
                  <c:v>568.02144427951953</c:v>
                </c:pt>
                <c:pt idx="334">
                  <c:v>569.64201268839167</c:v>
                </c:pt>
                <c:pt idx="335">
                  <c:v>571.25927627340593</c:v>
                </c:pt>
                <c:pt idx="336">
                  <c:v>572.8731559193119</c:v>
                </c:pt>
                <c:pt idx="337">
                  <c:v>574.48357232413241</c:v>
                </c:pt>
                <c:pt idx="338">
                  <c:v>576.09044610038825</c:v>
                </c:pt>
                <c:pt idx="339">
                  <c:v>577.69369786879611</c:v>
                </c:pt>
                <c:pt idx="340">
                  <c:v>579.29324834511817</c:v>
                </c:pt>
                <c:pt idx="341">
                  <c:v>580.88901842077689</c:v>
                </c:pt>
                <c:pt idx="342">
                  <c:v>582.48092923778461</c:v>
                </c:pt>
                <c:pt idx="343">
                  <c:v>584.06890225848338</c:v>
                </c:pt>
                <c:pt idx="344">
                  <c:v>585.65285933053747</c:v>
                </c:pt>
                <c:pt idx="345">
                  <c:v>587.23272274757596</c:v>
                </c:pt>
                <c:pt idx="346">
                  <c:v>588.80841530584019</c:v>
                </c:pt>
                <c:pt idx="347">
                  <c:v>590.37986035715426</c:v>
                </c:pt>
                <c:pt idx="348">
                  <c:v>591.94698185850325</c:v>
                </c:pt>
                <c:pt idx="349">
                  <c:v>593.50970441847369</c:v>
                </c:pt>
                <c:pt idx="350">
                  <c:v>595.06795334078561</c:v>
                </c:pt>
                <c:pt idx="351">
                  <c:v>596.62165466511965</c:v>
                </c:pt>
                <c:pt idx="352">
                  <c:v>598.17073520542488</c:v>
                </c:pt>
                <c:pt idx="353">
                  <c:v>599.7151225858712</c:v>
                </c:pt>
                <c:pt idx="354">
                  <c:v>601.25474527459664</c:v>
                </c:pt>
                <c:pt idx="355">
                  <c:v>602.78953261538254</c:v>
                </c:pt>
                <c:pt idx="356">
                  <c:v>604.31941485737912</c:v>
                </c:pt>
                <c:pt idx="357">
                  <c:v>605.84432318299059</c:v>
                </c:pt>
                <c:pt idx="358">
                  <c:v>607.36418973401885</c:v>
                </c:pt>
                <c:pt idx="359">
                  <c:v>608.8789476361577</c:v>
                </c:pt>
                <c:pt idx="360">
                  <c:v>610.38853102191831</c:v>
                </c:pt>
                <c:pt idx="361">
                  <c:v>611.89287505206244</c:v>
                </c:pt>
                <c:pt idx="362">
                  <c:v>613.39191593561122</c:v>
                </c:pt>
                <c:pt idx="363">
                  <c:v>614.88559094849393</c:v>
                </c:pt>
                <c:pt idx="364">
                  <c:v>616.373838450893</c:v>
                </c:pt>
                <c:pt idx="365">
                  <c:v>617.85659790334159</c:v>
                </c:pt>
                <c:pt idx="366">
                  <c:v>619.33380988162037</c:v>
                </c:pt>
                <c:pt idx="367">
                  <c:v>620.8054160905026</c:v>
                </c:pt>
                <c:pt idx="368">
                  <c:v>622.27135937638786</c:v>
                </c:pt>
                <c:pt idx="369">
                  <c:v>623.7315837388669</c:v>
                </c:pt>
                <c:pt idx="370">
                  <c:v>625.18603434125305</c:v>
                </c:pt>
                <c:pt idx="371">
                  <c:v>626.63465752011768</c:v>
                </c:pt>
                <c:pt idx="372">
                  <c:v>628.07740079386156</c:v>
                </c:pt>
                <c:pt idx="373">
                  <c:v>629.51421287035487</c:v>
                </c:pt>
                <c:pt idx="374">
                  <c:v>630.94504365367482</c:v>
                </c:pt>
                <c:pt idx="375">
                  <c:v>632.36984424997024</c:v>
                </c:pt>
                <c:pt idx="376">
                  <c:v>633.78856697248057</c:v>
                </c:pt>
                <c:pt idx="377">
                  <c:v>635.20116534573492</c:v>
                </c:pt>
                <c:pt idx="378">
                  <c:v>636.60759410895685</c:v>
                </c:pt>
                <c:pt idx="379">
                  <c:v>638.0078092186983</c:v>
                </c:pt>
                <c:pt idx="380">
                  <c:v>639.40176785072765</c:v>
                </c:pt>
                <c:pt idx="381">
                  <c:v>640.78942840119271</c:v>
                </c:pt>
                <c:pt idx="382">
                  <c:v>642.17075048708227</c:v>
                </c:pt>
                <c:pt idx="383">
                  <c:v>643.54569494600628</c:v>
                </c:pt>
                <c:pt idx="384">
                  <c:v>644.91422383531653</c:v>
                </c:pt>
                <c:pt idx="385">
                  <c:v>646.27630043058775</c:v>
                </c:pt>
                <c:pt idx="386">
                  <c:v>647.63188922347854</c:v>
                </c:pt>
                <c:pt idx="387">
                  <c:v>648.98095591899255</c:v>
                </c:pt>
                <c:pt idx="388">
                  <c:v>650.32346743215783</c:v>
                </c:pt>
                <c:pt idx="389">
                  <c:v>651.65939188414416</c:v>
                </c:pt>
                <c:pt idx="390">
                  <c:v>652.98869859783576</c:v>
                </c:pt>
                <c:pt idx="391">
                  <c:v>654.31135809287809</c:v>
                </c:pt>
                <c:pt idx="392">
                  <c:v>655.62734208021573</c:v>
                </c:pt>
                <c:pt idx="393">
                  <c:v>656.93662345613961</c:v>
                </c:pt>
                <c:pt idx="394">
                  <c:v>658.23917629586026</c:v>
                </c:pt>
                <c:pt idx="395">
                  <c:v>659.53497584662387</c:v>
                </c:pt>
                <c:pt idx="396">
                  <c:v>660.82399852038827</c:v>
                </c:pt>
                <c:pt idx="397">
                  <c:v>662.10622188607465</c:v>
                </c:pt>
                <c:pt idx="398">
                  <c:v>663.38162466141193</c:v>
                </c:pt>
                <c:pt idx="399">
                  <c:v>664.65018670438894</c:v>
                </c:pt>
                <c:pt idx="400">
                  <c:v>665.91188900433087</c:v>
                </c:pt>
                <c:pt idx="401">
                  <c:v>667.16671367261461</c:v>
                </c:pt>
                <c:pt idx="402">
                  <c:v>668.41464393303897</c:v>
                </c:pt>
                <c:pt idx="403">
                  <c:v>669.65566411186444</c:v>
                </c:pt>
                <c:pt idx="404">
                  <c:v>670.8897596275375</c:v>
                </c:pt>
                <c:pt idx="405">
                  <c:v>672.11691698011384</c:v>
                </c:pt>
                <c:pt idx="406">
                  <c:v>673.33712374039476</c:v>
                </c:pt>
                <c:pt idx="407">
                  <c:v>674.55036853879142</c:v>
                </c:pt>
                <c:pt idx="408">
                  <c:v>675.75664105393037</c:v>
                </c:pt>
                <c:pt idx="409">
                  <c:v>676.95593200101371</c:v>
                </c:pt>
                <c:pt idx="410">
                  <c:v>678.14823311994837</c:v>
                </c:pt>
                <c:pt idx="411">
                  <c:v>679.33353716325644</c:v>
                </c:pt>
                <c:pt idx="412">
                  <c:v>680.51183788378091</c:v>
                </c:pt>
                <c:pt idx="413">
                  <c:v>681.68313002219793</c:v>
                </c:pt>
                <c:pt idx="414">
                  <c:v>682.84740929434952</c:v>
                </c:pt>
                <c:pt idx="415">
                  <c:v>684.0046723784086</c:v>
                </c:pt>
                <c:pt idx="416">
                  <c:v>685.1549169018873</c:v>
                </c:pt>
                <c:pt idx="417">
                  <c:v>686.29814142850239</c:v>
                </c:pt>
                <c:pt idx="418">
                  <c:v>687.43434544490697</c:v>
                </c:pt>
                <c:pt idx="419">
                  <c:v>688.56352934730194</c:v>
                </c:pt>
                <c:pt idx="420">
                  <c:v>689.68569442793648</c:v>
                </c:pt>
                <c:pt idx="421">
                  <c:v>690.80084286150964</c:v>
                </c:pt>
                <c:pt idx="422">
                  <c:v>691.90897769148262</c:v>
                </c:pt>
                <c:pt idx="423">
                  <c:v>693.01010281631261</c:v>
                </c:pt>
                <c:pt idx="424">
                  <c:v>694.1042229756182</c:v>
                </c:pt>
                <c:pt idx="425">
                  <c:v>695.19134373628572</c:v>
                </c:pt>
                <c:pt idx="426">
                  <c:v>696.27147147852634</c:v>
                </c:pt>
                <c:pt idx="427">
                  <c:v>697.34461338189351</c:v>
                </c:pt>
                <c:pt idx="428">
                  <c:v>698.41077741126935</c:v>
                </c:pt>
                <c:pt idx="429">
                  <c:v>699.46997230282852</c:v>
                </c:pt>
                <c:pt idx="430">
                  <c:v>700.52220754998905</c:v>
                </c:pt>
                <c:pt idx="431">
                  <c:v>701.56749338935731</c:v>
                </c:pt>
                <c:pt idx="432">
                  <c:v>702.60584078667603</c:v>
                </c:pt>
                <c:pt idx="433">
                  <c:v>703.63726142278279</c:v>
                </c:pt>
                <c:pt idx="434">
                  <c:v>704.66176767958621</c:v>
                </c:pt>
                <c:pt idx="435">
                  <c:v>705.67937262606802</c:v>
                </c:pt>
                <c:pt idx="436">
                  <c:v>706.6900900043172</c:v>
                </c:pt>
                <c:pt idx="437">
                  <c:v>707.69393421560324</c:v>
                </c:pt>
                <c:pt idx="438">
                  <c:v>708.6909203064954</c:v>
                </c:pt>
                <c:pt idx="439">
                  <c:v>709.68106395503435</c:v>
                </c:pt>
                <c:pt idx="440">
                  <c:v>710.66438145696156</c:v>
                </c:pt>
                <c:pt idx="441">
                  <c:v>711.64088971201329</c:v>
                </c:pt>
                <c:pt idx="442">
                  <c:v>712.61060621028389</c:v>
                </c:pt>
                <c:pt idx="443">
                  <c:v>713.57354901866518</c:v>
                </c:pt>
                <c:pt idx="444">
                  <c:v>714.52973676736531</c:v>
                </c:pt>
                <c:pt idx="445">
                  <c:v>715.47918863651364</c:v>
                </c:pt>
                <c:pt idx="446">
                  <c:v>716.42192434285607</c:v>
                </c:pt>
                <c:pt idx="447">
                  <c:v>717.35796412654429</c:v>
                </c:pt>
                <c:pt idx="448">
                  <c:v>718.28732873802494</c:v>
                </c:pt>
                <c:pt idx="449">
                  <c:v>719.21003942503194</c:v>
                </c:pt>
                <c:pt idx="450">
                  <c:v>720.12611791968561</c:v>
                </c:pt>
                <c:pt idx="451">
                  <c:v>721.03558642570329</c:v>
                </c:pt>
                <c:pt idx="452">
                  <c:v>721.93846760572421</c:v>
                </c:pt>
                <c:pt idx="453">
                  <c:v>722.83478456875241</c:v>
                </c:pt>
                <c:pt idx="454">
                  <c:v>723.72456085772058</c:v>
                </c:pt>
                <c:pt idx="455">
                  <c:v>724.60782043717802</c:v>
                </c:pt>
                <c:pt idx="456">
                  <c:v>725.48458768110561</c:v>
                </c:pt>
                <c:pt idx="457">
                  <c:v>726.35488736086029</c:v>
                </c:pt>
                <c:pt idx="458">
                  <c:v>727.21874463325128</c:v>
                </c:pt>
                <c:pt idx="459">
                  <c:v>728.07618502875096</c:v>
                </c:pt>
                <c:pt idx="460">
                  <c:v>728.92723443984187</c:v>
                </c:pt>
                <c:pt idx="461">
                  <c:v>729.77191910950251</c:v>
                </c:pt>
                <c:pt idx="462">
                  <c:v>730.61026561983272</c:v>
                </c:pt>
                <c:pt idx="463">
                  <c:v>731.44230088082179</c:v>
                </c:pt>
                <c:pt idx="464">
                  <c:v>732.26805211925944</c:v>
                </c:pt>
                <c:pt idx="465">
                  <c:v>733.08754686779184</c:v>
                </c:pt>
                <c:pt idx="466">
                  <c:v>733.90081295412381</c:v>
                </c:pt>
                <c:pt idx="467">
                  <c:v>734.70787849036776</c:v>
                </c:pt>
                <c:pt idx="468">
                  <c:v>735.50877186254138</c:v>
                </c:pt>
                <c:pt idx="469">
                  <c:v>736.30352172021401</c:v>
                </c:pt>
                <c:pt idx="470">
                  <c:v>737.09215696630281</c:v>
                </c:pt>
                <c:pt idx="471">
                  <c:v>737.87470674701922</c:v>
                </c:pt>
                <c:pt idx="472">
                  <c:v>738.65120044196635</c:v>
                </c:pt>
                <c:pt idx="473">
                  <c:v>739.42166765438776</c:v>
                </c:pt>
                <c:pt idx="474">
                  <c:v>740.18613820156759</c:v>
                </c:pt>
                <c:pt idx="475">
                  <c:v>740.94464210538229</c:v>
                </c:pt>
                <c:pt idx="476">
                  <c:v>741.69720958300434</c:v>
                </c:pt>
                <c:pt idx="477">
                  <c:v>742.4438710377575</c:v>
                </c:pt>
                <c:pt idx="478">
                  <c:v>743.18465705012397</c:v>
                </c:pt>
                <c:pt idx="479">
                  <c:v>743.91959836890271</c:v>
                </c:pt>
                <c:pt idx="480">
                  <c:v>744.648725902519</c:v>
                </c:pt>
                <c:pt idx="481">
                  <c:v>745.37207071048465</c:v>
                </c:pt>
                <c:pt idx="482">
                  <c:v>746.08966399500878</c:v>
                </c:pt>
                <c:pt idx="483">
                  <c:v>746.80153709275805</c:v>
                </c:pt>
                <c:pt idx="484">
                  <c:v>747.50772146676627</c:v>
                </c:pt>
                <c:pt idx="485">
                  <c:v>748.20824869849264</c:v>
                </c:pt>
                <c:pt idx="486">
                  <c:v>748.90315048002719</c:v>
                </c:pt>
                <c:pt idx="487">
                  <c:v>749.5924586064441</c:v>
                </c:pt>
                <c:pt idx="488">
                  <c:v>750.27620496830025</c:v>
                </c:pt>
                <c:pt idx="489">
                  <c:v>750.9544215442794</c:v>
                </c:pt>
                <c:pt idx="490">
                  <c:v>751.62714039398065</c:v>
                </c:pt>
                <c:pt idx="491">
                  <c:v>752.29439365084988</c:v>
                </c:pt>
                <c:pt idx="492">
                  <c:v>752.95621351525358</c:v>
                </c:pt>
                <c:pt idx="493">
                  <c:v>753.61263224769323</c:v>
                </c:pt>
                <c:pt idx="494">
                  <c:v>754.26368216215997</c:v>
                </c:pt>
                <c:pt idx="495">
                  <c:v>754.90939561962773</c:v>
                </c:pt>
                <c:pt idx="496">
                  <c:v>755.54980502168405</c:v>
                </c:pt>
                <c:pt idx="497">
                  <c:v>756.18494280429627</c:v>
                </c:pt>
                <c:pt idx="498">
                  <c:v>756.81484143171326</c:v>
                </c:pt>
                <c:pt idx="499">
                  <c:v>757.43953339050051</c:v>
                </c:pt>
                <c:pt idx="500">
                  <c:v>758.05905118370697</c:v>
                </c:pt>
                <c:pt idx="501">
                  <c:v>758.67342732516261</c:v>
                </c:pt>
                <c:pt idx="502">
                  <c:v>759.28269433390585</c:v>
                </c:pt>
                <c:pt idx="503">
                  <c:v>759.88688472873787</c:v>
                </c:pt>
                <c:pt idx="504">
                  <c:v>760.48603102290406</c:v>
                </c:pt>
                <c:pt idx="505">
                  <c:v>761.08016571889971</c:v>
                </c:pt>
                <c:pt idx="506">
                  <c:v>761.66932130339944</c:v>
                </c:pt>
                <c:pt idx="507">
                  <c:v>762.25353024230833</c:v>
                </c:pt>
                <c:pt idx="508">
                  <c:v>762.83282497593314</c:v>
                </c:pt>
                <c:pt idx="509">
                  <c:v>763.40723791427251</c:v>
                </c:pt>
                <c:pt idx="510">
                  <c:v>763.97680143242405</c:v>
                </c:pt>
                <c:pt idx="511">
                  <c:v>764.54154786610718</c:v>
                </c:pt>
                <c:pt idx="512">
                  <c:v>765.10150950729985</c:v>
                </c:pt>
                <c:pt idx="513">
                  <c:v>765.65671859998781</c:v>
                </c:pt>
                <c:pt idx="514">
                  <c:v>766.20720733602457</c:v>
                </c:pt>
                <c:pt idx="515">
                  <c:v>766.75300785110051</c:v>
                </c:pt>
                <c:pt idx="516">
                  <c:v>767.29415222081957</c:v>
                </c:pt>
                <c:pt idx="517">
                  <c:v>767.83067245688233</c:v>
                </c:pt>
                <c:pt idx="518">
                  <c:v>768.36260050337285</c:v>
                </c:pt>
                <c:pt idx="519">
                  <c:v>768.88996823314881</c:v>
                </c:pt>
                <c:pt idx="520">
                  <c:v>769.41280744433277</c:v>
                </c:pt>
                <c:pt idx="521">
                  <c:v>769.93114985690261</c:v>
                </c:pt>
                <c:pt idx="522">
                  <c:v>770.44502710938048</c:v>
                </c:pt>
                <c:pt idx="523">
                  <c:v>770.95447075561776</c:v>
                </c:pt>
                <c:pt idx="524">
                  <c:v>771.4595122616754</c:v>
                </c:pt>
                <c:pt idx="525">
                  <c:v>771.96018300279638</c:v>
                </c:pt>
                <c:pt idx="526">
                  <c:v>772.45651426047129</c:v>
                </c:pt>
                <c:pt idx="527">
                  <c:v>772.94853721959271</c:v>
                </c:pt>
                <c:pt idx="528">
                  <c:v>773.43628296569898</c:v>
                </c:pt>
                <c:pt idx="529">
                  <c:v>773.9197824823043</c:v>
                </c:pt>
                <c:pt idx="530">
                  <c:v>774.39906664831483</c:v>
                </c:pt>
                <c:pt idx="531">
                  <c:v>774.87416623552872</c:v>
                </c:pt>
                <c:pt idx="532">
                  <c:v>775.34511190621765</c:v>
                </c:pt>
                <c:pt idx="533">
                  <c:v>775.81193421079058</c:v>
                </c:pt>
                <c:pt idx="534">
                  <c:v>776.2746635855359</c:v>
                </c:pt>
                <c:pt idx="535">
                  <c:v>776.73333035044186</c:v>
                </c:pt>
                <c:pt idx="536">
                  <c:v>777.18796470709344</c:v>
                </c:pt>
                <c:pt idx="537">
                  <c:v>777.6385967366441</c:v>
                </c:pt>
                <c:pt idx="538">
                  <c:v>778.08525639786137</c:v>
                </c:pt>
                <c:pt idx="539">
                  <c:v>778.52797352524431</c:v>
                </c:pt>
                <c:pt idx="540">
                  <c:v>778.96677782721144</c:v>
                </c:pt>
                <c:pt idx="541">
                  <c:v>779.40169888435867</c:v>
                </c:pt>
                <c:pt idx="542">
                  <c:v>779.83276614778447</c:v>
                </c:pt>
                <c:pt idx="543">
                  <c:v>780.26000893748198</c:v>
                </c:pt>
                <c:pt idx="544">
                  <c:v>780.68345644079625</c:v>
                </c:pt>
                <c:pt idx="545">
                  <c:v>781.10313771094536</c:v>
                </c:pt>
                <c:pt idx="546">
                  <c:v>781.51908166560372</c:v>
                </c:pt>
                <c:pt idx="547">
                  <c:v>781.93131708554722</c:v>
                </c:pt>
                <c:pt idx="548">
                  <c:v>782.33987261335801</c:v>
                </c:pt>
                <c:pt idx="549">
                  <c:v>782.74477675218793</c:v>
                </c:pt>
                <c:pt idx="550">
                  <c:v>783.14605786457923</c:v>
                </c:pt>
                <c:pt idx="551">
                  <c:v>783.54374417134204</c:v>
                </c:pt>
                <c:pt idx="552">
                  <c:v>783.93786375048592</c:v>
                </c:pt>
                <c:pt idx="553">
                  <c:v>784.32844453620601</c:v>
                </c:pt>
                <c:pt idx="554">
                  <c:v>784.71551431792113</c:v>
                </c:pt>
                <c:pt idx="555">
                  <c:v>785.09910073936362</c:v>
                </c:pt>
                <c:pt idx="556">
                  <c:v>785.47923129771914</c:v>
                </c:pt>
                <c:pt idx="557">
                  <c:v>785.85593334281589</c:v>
                </c:pt>
                <c:pt idx="558">
                  <c:v>786.22923407636142</c:v>
                </c:pt>
                <c:pt idx="559">
                  <c:v>786.59916055122665</c:v>
                </c:pt>
                <c:pt idx="560">
                  <c:v>786.96573967077529</c:v>
                </c:pt>
                <c:pt idx="561">
                  <c:v>787.32899818823842</c:v>
                </c:pt>
                <c:pt idx="562">
                  <c:v>787.68896270613232</c:v>
                </c:pt>
                <c:pt idx="563">
                  <c:v>788.04565967571909</c:v>
                </c:pt>
                <c:pt idx="564">
                  <c:v>788.39911539650871</c:v>
                </c:pt>
                <c:pt idx="565">
                  <c:v>788.74935601580182</c:v>
                </c:pt>
                <c:pt idx="566">
                  <c:v>789.09640752827227</c:v>
                </c:pt>
                <c:pt idx="567">
                  <c:v>789.44029577558786</c:v>
                </c:pt>
                <c:pt idx="568">
                  <c:v>789.7810464460689</c:v>
                </c:pt>
                <c:pt idx="569">
                  <c:v>790.11868507438362</c:v>
                </c:pt>
                <c:pt idx="570">
                  <c:v>790.45323704127952</c:v>
                </c:pt>
                <c:pt idx="571">
                  <c:v>790.78472757334896</c:v>
                </c:pt>
                <c:pt idx="572">
                  <c:v>791.11318174282951</c:v>
                </c:pt>
                <c:pt idx="573">
                  <c:v>791.43862446743719</c:v>
                </c:pt>
                <c:pt idx="574">
                  <c:v>791.76108051023141</c:v>
                </c:pt>
                <c:pt idx="575">
                  <c:v>792.08057447951217</c:v>
                </c:pt>
                <c:pt idx="576">
                  <c:v>792.39713082874744</c:v>
                </c:pt>
                <c:pt idx="577">
                  <c:v>792.71077385653018</c:v>
                </c:pt>
                <c:pt idx="578">
                  <c:v>793.02152770656483</c:v>
                </c:pt>
                <c:pt idx="579">
                  <c:v>793.32941636768101</c:v>
                </c:pt>
                <c:pt idx="580">
                  <c:v>793.6344636738761</c:v>
                </c:pt>
                <c:pt idx="581">
                  <c:v>793.93669330438297</c:v>
                </c:pt>
                <c:pt idx="582">
                  <c:v>794.2361287837648</c:v>
                </c:pt>
                <c:pt idx="583">
                  <c:v>794.53279348203432</c:v>
                </c:pt>
                <c:pt idx="584">
                  <c:v>794.82671061479789</c:v>
                </c:pt>
                <c:pt idx="585">
                  <c:v>795.11790324342348</c:v>
                </c:pt>
                <c:pt idx="586">
                  <c:v>795.40639427523138</c:v>
                </c:pt>
                <c:pt idx="587">
                  <c:v>795.69220646370752</c:v>
                </c:pt>
                <c:pt idx="588">
                  <c:v>795.97536240873876</c:v>
                </c:pt>
                <c:pt idx="589">
                  <c:v>796.25588455686886</c:v>
                </c:pt>
                <c:pt idx="590">
                  <c:v>796.53379520157546</c:v>
                </c:pt>
                <c:pt idx="591">
                  <c:v>796.80911648356641</c:v>
                </c:pt>
                <c:pt idx="592">
                  <c:v>797.08187039109589</c:v>
                </c:pt>
                <c:pt idx="593">
                  <c:v>797.35207876029847</c:v>
                </c:pt>
                <c:pt idx="594">
                  <c:v>797.61976327554214</c:v>
                </c:pt>
                <c:pt idx="595">
                  <c:v>797.88494546979837</c:v>
                </c:pt>
                <c:pt idx="596">
                  <c:v>798.14764672502918</c:v>
                </c:pt>
                <c:pt idx="597">
                  <c:v>798.40788827259041</c:v>
                </c:pt>
                <c:pt idx="598">
                  <c:v>798.66569119365136</c:v>
                </c:pt>
                <c:pt idx="599">
                  <c:v>798.92107641962957</c:v>
                </c:pt>
                <c:pt idx="600">
                  <c:v>799.17406473264032</c:v>
                </c:pt>
                <c:pt idx="601">
                  <c:v>799.4246767659605</c:v>
                </c:pt>
                <c:pt idx="602">
                  <c:v>799.6729330045066</c:v>
                </c:pt>
                <c:pt idx="603">
                  <c:v>799.91885378532572</c:v>
                </c:pt>
                <c:pt idx="604">
                  <c:v>800.16245929809986</c:v>
                </c:pt>
                <c:pt idx="605">
                  <c:v>800.40376958566219</c:v>
                </c:pt>
                <c:pt idx="606">
                  <c:v>800.64280454452592</c:v>
                </c:pt>
                <c:pt idx="607">
                  <c:v>800.87958392542419</c:v>
                </c:pt>
                <c:pt idx="608">
                  <c:v>801.11412733386157</c:v>
                </c:pt>
                <c:pt idx="609">
                  <c:v>801.34645423067582</c:v>
                </c:pt>
                <c:pt idx="610">
                  <c:v>801.57658393261033</c:v>
                </c:pt>
                <c:pt idx="611">
                  <c:v>801.80453561289642</c:v>
                </c:pt>
                <c:pt idx="612">
                  <c:v>802.03032830184475</c:v>
                </c:pt>
                <c:pt idx="613">
                  <c:v>802.25398088744657</c:v>
                </c:pt>
                <c:pt idx="614">
                  <c:v>802.47551211598341</c:v>
                </c:pt>
                <c:pt idx="615">
                  <c:v>802.6949405926448</c:v>
                </c:pt>
                <c:pt idx="616">
                  <c:v>802.91228478215476</c:v>
                </c:pt>
                <c:pt idx="617">
                  <c:v>803.12756300940543</c:v>
                </c:pt>
                <c:pt idx="618">
                  <c:v>803.34079346009855</c:v>
                </c:pt>
                <c:pt idx="619">
                  <c:v>803.55199418139341</c:v>
                </c:pt>
                <c:pt idx="620">
                  <c:v>803.76118308256196</c:v>
                </c:pt>
                <c:pt idx="621">
                  <c:v>803.96837793565021</c:v>
                </c:pt>
                <c:pt idx="622">
                  <c:v>804.17359637614584</c:v>
                </c:pt>
                <c:pt idx="623">
                  <c:v>804.37685590365118</c:v>
                </c:pt>
                <c:pt idx="624">
                  <c:v>804.57817388256228</c:v>
                </c:pt>
                <c:pt idx="625">
                  <c:v>804.77756754275288</c:v>
                </c:pt>
                <c:pt idx="626">
                  <c:v>804.97505398026328</c:v>
                </c:pt>
                <c:pt idx="627">
                  <c:v>805.17065015799415</c:v>
                </c:pt>
                <c:pt idx="628">
                  <c:v>805.36437290640424</c:v>
                </c:pt>
                <c:pt idx="629">
                  <c:v>805.55623892421318</c:v>
                </c:pt>
                <c:pt idx="630">
                  <c:v>805.74626477910704</c:v>
                </c:pt>
                <c:pt idx="631">
                  <c:v>805.93446690844837</c:v>
                </c:pt>
                <c:pt idx="632">
                  <c:v>806.12086161998957</c:v>
                </c:pt>
                <c:pt idx="633">
                  <c:v>806.30546509258909</c:v>
                </c:pt>
                <c:pt idx="634">
                  <c:v>806.48829337693076</c:v>
                </c:pt>
                <c:pt idx="635">
                  <c:v>806.66936239624613</c:v>
                </c:pt>
                <c:pt idx="636">
                  <c:v>806.84868794703902</c:v>
                </c:pt>
                <c:pt idx="637">
                  <c:v>807.02628569981266</c:v>
                </c:pt>
                <c:pt idx="638">
                  <c:v>807.20217119979839</c:v>
                </c:pt>
                <c:pt idx="639">
                  <c:v>807.37635986768726</c:v>
                </c:pt>
                <c:pt idx="640">
                  <c:v>807.54886700036252</c:v>
                </c:pt>
                <c:pt idx="641">
                  <c:v>807.71970777163403</c:v>
                </c:pt>
                <c:pt idx="642">
                  <c:v>807.88889723297405</c:v>
                </c:pt>
                <c:pt idx="643">
                  <c:v>808.05645031425388</c:v>
                </c:pt>
                <c:pt idx="644">
                  <c:v>808.22238182448223</c:v>
                </c:pt>
                <c:pt idx="645">
                  <c:v>808.38670645254354</c:v>
                </c:pt>
                <c:pt idx="646">
                  <c:v>808.54943876793777</c:v>
                </c:pt>
                <c:pt idx="647">
                  <c:v>808.7105932215203</c:v>
                </c:pt>
                <c:pt idx="648">
                  <c:v>808.87018414624242</c:v>
                </c:pt>
                <c:pt idx="649">
                  <c:v>809.02822575789196</c:v>
                </c:pt>
                <c:pt idx="650">
                  <c:v>809.18473215583379</c:v>
                </c:pt>
                <c:pt idx="651">
                  <c:v>809.33971732375096</c:v>
                </c:pt>
                <c:pt idx="652">
                  <c:v>809.49319513038461</c:v>
                </c:pt>
                <c:pt idx="653">
                  <c:v>809.6451793302748</c:v>
                </c:pt>
                <c:pt idx="654">
                  <c:v>809.6451793302748</c:v>
                </c:pt>
                <c:pt idx="655">
                  <c:v>809.6451793302748</c:v>
                </c:pt>
                <c:pt idx="656">
                  <c:v>809.6451793302748</c:v>
                </c:pt>
                <c:pt idx="657">
                  <c:v>809.6451793302748</c:v>
                </c:pt>
                <c:pt idx="658">
                  <c:v>809.6451793302748</c:v>
                </c:pt>
                <c:pt idx="659">
                  <c:v>809.6451793302748</c:v>
                </c:pt>
                <c:pt idx="660">
                  <c:v>809.6451793302748</c:v>
                </c:pt>
                <c:pt idx="661">
                  <c:v>809.6451793302748</c:v>
                </c:pt>
                <c:pt idx="662">
                  <c:v>809.6451793302748</c:v>
                </c:pt>
                <c:pt idx="663">
                  <c:v>809.6451793302748</c:v>
                </c:pt>
                <c:pt idx="664">
                  <c:v>809.6451793302748</c:v>
                </c:pt>
                <c:pt idx="665">
                  <c:v>809.6451793302748</c:v>
                </c:pt>
                <c:pt idx="666">
                  <c:v>809.6451793302748</c:v>
                </c:pt>
                <c:pt idx="667">
                  <c:v>809.6451793302748</c:v>
                </c:pt>
                <c:pt idx="668">
                  <c:v>809.6451793302748</c:v>
                </c:pt>
                <c:pt idx="669">
                  <c:v>809.6451793302748</c:v>
                </c:pt>
                <c:pt idx="670">
                  <c:v>809.6451793302748</c:v>
                </c:pt>
                <c:pt idx="671">
                  <c:v>809.6451793302748</c:v>
                </c:pt>
                <c:pt idx="672">
                  <c:v>809.6451793302748</c:v>
                </c:pt>
                <c:pt idx="673">
                  <c:v>809.6451793302748</c:v>
                </c:pt>
                <c:pt idx="674">
                  <c:v>809.6451793302748</c:v>
                </c:pt>
                <c:pt idx="675">
                  <c:v>809.6451793302748</c:v>
                </c:pt>
                <c:pt idx="676">
                  <c:v>809.6451793302748</c:v>
                </c:pt>
                <c:pt idx="677">
                  <c:v>809.6451793302748</c:v>
                </c:pt>
                <c:pt idx="678">
                  <c:v>809.6451793302748</c:v>
                </c:pt>
                <c:pt idx="679">
                  <c:v>809.6451793302748</c:v>
                </c:pt>
                <c:pt idx="680">
                  <c:v>809.6451793302748</c:v>
                </c:pt>
                <c:pt idx="681">
                  <c:v>809.6451793302748</c:v>
                </c:pt>
                <c:pt idx="682">
                  <c:v>809.6451793302748</c:v>
                </c:pt>
                <c:pt idx="683">
                  <c:v>809.6451793302748</c:v>
                </c:pt>
                <c:pt idx="684">
                  <c:v>809.6451793302748</c:v>
                </c:pt>
                <c:pt idx="685">
                  <c:v>809.6451793302748</c:v>
                </c:pt>
                <c:pt idx="686">
                  <c:v>809.6451793302748</c:v>
                </c:pt>
                <c:pt idx="687">
                  <c:v>809.6451793302748</c:v>
                </c:pt>
                <c:pt idx="688">
                  <c:v>809.6451793302748</c:v>
                </c:pt>
                <c:pt idx="689">
                  <c:v>809.6451793302748</c:v>
                </c:pt>
                <c:pt idx="690">
                  <c:v>809.6451793302748</c:v>
                </c:pt>
                <c:pt idx="691">
                  <c:v>809.6451793302748</c:v>
                </c:pt>
                <c:pt idx="692">
                  <c:v>809.6451793302748</c:v>
                </c:pt>
                <c:pt idx="693">
                  <c:v>809.6451793302748</c:v>
                </c:pt>
                <c:pt idx="694">
                  <c:v>809.6451793302748</c:v>
                </c:pt>
                <c:pt idx="695">
                  <c:v>809.6451793302748</c:v>
                </c:pt>
                <c:pt idx="696">
                  <c:v>809.6451793302748</c:v>
                </c:pt>
                <c:pt idx="697">
                  <c:v>809.6451793302748</c:v>
                </c:pt>
                <c:pt idx="698">
                  <c:v>809.6451793302748</c:v>
                </c:pt>
                <c:pt idx="699">
                  <c:v>809.6451793302748</c:v>
                </c:pt>
                <c:pt idx="700">
                  <c:v>809.6451793302748</c:v>
                </c:pt>
                <c:pt idx="701">
                  <c:v>809.6451793302748</c:v>
                </c:pt>
                <c:pt idx="702">
                  <c:v>809.6451793302748</c:v>
                </c:pt>
                <c:pt idx="703">
                  <c:v>809.6451793302748</c:v>
                </c:pt>
                <c:pt idx="704">
                  <c:v>809.6451793302748</c:v>
                </c:pt>
                <c:pt idx="705">
                  <c:v>809.6451793302748</c:v>
                </c:pt>
                <c:pt idx="706">
                  <c:v>809.6451793302748</c:v>
                </c:pt>
                <c:pt idx="707">
                  <c:v>809.6451793302748</c:v>
                </c:pt>
                <c:pt idx="708">
                  <c:v>809.6451793302748</c:v>
                </c:pt>
                <c:pt idx="709">
                  <c:v>809.6451793302748</c:v>
                </c:pt>
                <c:pt idx="710">
                  <c:v>809.6451793302748</c:v>
                </c:pt>
                <c:pt idx="711">
                  <c:v>809.6451793302748</c:v>
                </c:pt>
                <c:pt idx="712">
                  <c:v>809.6451793302748</c:v>
                </c:pt>
                <c:pt idx="713">
                  <c:v>809.6451793302748</c:v>
                </c:pt>
                <c:pt idx="714">
                  <c:v>809.6451793302748</c:v>
                </c:pt>
                <c:pt idx="715">
                  <c:v>809.6451793302748</c:v>
                </c:pt>
                <c:pt idx="716">
                  <c:v>809.6451793302748</c:v>
                </c:pt>
                <c:pt idx="717">
                  <c:v>809.6451793302748</c:v>
                </c:pt>
                <c:pt idx="718">
                  <c:v>809.6451793302748</c:v>
                </c:pt>
                <c:pt idx="719">
                  <c:v>809.6451793302748</c:v>
                </c:pt>
                <c:pt idx="720">
                  <c:v>809.6451793302748</c:v>
                </c:pt>
                <c:pt idx="721">
                  <c:v>809.6451793302748</c:v>
                </c:pt>
                <c:pt idx="722">
                  <c:v>809.6451793302748</c:v>
                </c:pt>
                <c:pt idx="723">
                  <c:v>809.6451793302748</c:v>
                </c:pt>
                <c:pt idx="724">
                  <c:v>809.6451793302748</c:v>
                </c:pt>
                <c:pt idx="725">
                  <c:v>809.6451793302748</c:v>
                </c:pt>
                <c:pt idx="726">
                  <c:v>809.6451793302748</c:v>
                </c:pt>
                <c:pt idx="727">
                  <c:v>809.6451793302748</c:v>
                </c:pt>
                <c:pt idx="728">
                  <c:v>809.6451793302748</c:v>
                </c:pt>
                <c:pt idx="729">
                  <c:v>809.6451793302748</c:v>
                </c:pt>
                <c:pt idx="730">
                  <c:v>809.6451793302748</c:v>
                </c:pt>
                <c:pt idx="731">
                  <c:v>809.6451793302748</c:v>
                </c:pt>
                <c:pt idx="732">
                  <c:v>809.6451793302748</c:v>
                </c:pt>
                <c:pt idx="733">
                  <c:v>809.6451793302748</c:v>
                </c:pt>
                <c:pt idx="734">
                  <c:v>809.6451793302748</c:v>
                </c:pt>
                <c:pt idx="735">
                  <c:v>809.6451793302748</c:v>
                </c:pt>
                <c:pt idx="736">
                  <c:v>809.6451793302748</c:v>
                </c:pt>
                <c:pt idx="737">
                  <c:v>809.6451793302748</c:v>
                </c:pt>
                <c:pt idx="738">
                  <c:v>809.6451793302748</c:v>
                </c:pt>
                <c:pt idx="739">
                  <c:v>809.6451793302748</c:v>
                </c:pt>
                <c:pt idx="740">
                  <c:v>809.6451793302748</c:v>
                </c:pt>
                <c:pt idx="741">
                  <c:v>809.6451793302748</c:v>
                </c:pt>
                <c:pt idx="742">
                  <c:v>809.6451793302748</c:v>
                </c:pt>
                <c:pt idx="743">
                  <c:v>809.6451793302748</c:v>
                </c:pt>
                <c:pt idx="744">
                  <c:v>809.6451793302748</c:v>
                </c:pt>
                <c:pt idx="745">
                  <c:v>809.6451793302748</c:v>
                </c:pt>
                <c:pt idx="746">
                  <c:v>809.6451793302748</c:v>
                </c:pt>
                <c:pt idx="747">
                  <c:v>809.6451793302748</c:v>
                </c:pt>
                <c:pt idx="748">
                  <c:v>809.6451793302748</c:v>
                </c:pt>
                <c:pt idx="749">
                  <c:v>809.6451793302748</c:v>
                </c:pt>
                <c:pt idx="750">
                  <c:v>809.6451793302748</c:v>
                </c:pt>
                <c:pt idx="751">
                  <c:v>809.6451793302748</c:v>
                </c:pt>
                <c:pt idx="752">
                  <c:v>809.6451793302748</c:v>
                </c:pt>
                <c:pt idx="753">
                  <c:v>809.6451793302748</c:v>
                </c:pt>
                <c:pt idx="754">
                  <c:v>809.6451793302748</c:v>
                </c:pt>
                <c:pt idx="755">
                  <c:v>809.6451793302748</c:v>
                </c:pt>
                <c:pt idx="756">
                  <c:v>809.6451793302748</c:v>
                </c:pt>
                <c:pt idx="757">
                  <c:v>809.6451793302748</c:v>
                </c:pt>
                <c:pt idx="758">
                  <c:v>809.6451793302748</c:v>
                </c:pt>
                <c:pt idx="759">
                  <c:v>809.6451793302748</c:v>
                </c:pt>
                <c:pt idx="760">
                  <c:v>809.6451793302748</c:v>
                </c:pt>
                <c:pt idx="761">
                  <c:v>809.6451793302748</c:v>
                </c:pt>
                <c:pt idx="762">
                  <c:v>809.6451793302748</c:v>
                </c:pt>
                <c:pt idx="763">
                  <c:v>809.6451793302748</c:v>
                </c:pt>
                <c:pt idx="764">
                  <c:v>809.6451793302748</c:v>
                </c:pt>
                <c:pt idx="765">
                  <c:v>809.6451793302748</c:v>
                </c:pt>
                <c:pt idx="766">
                  <c:v>809.6451793302748</c:v>
                </c:pt>
                <c:pt idx="767">
                  <c:v>809.6451793302748</c:v>
                </c:pt>
                <c:pt idx="768">
                  <c:v>809.6451793302748</c:v>
                </c:pt>
                <c:pt idx="769">
                  <c:v>809.6451793302748</c:v>
                </c:pt>
                <c:pt idx="770">
                  <c:v>809.6451793302748</c:v>
                </c:pt>
                <c:pt idx="771">
                  <c:v>809.6451793302748</c:v>
                </c:pt>
                <c:pt idx="772">
                  <c:v>809.6451793302748</c:v>
                </c:pt>
                <c:pt idx="773">
                  <c:v>809.6451793302748</c:v>
                </c:pt>
                <c:pt idx="774">
                  <c:v>809.6451793302748</c:v>
                </c:pt>
                <c:pt idx="775">
                  <c:v>809.6451793302748</c:v>
                </c:pt>
                <c:pt idx="776">
                  <c:v>809.6451793302748</c:v>
                </c:pt>
                <c:pt idx="777">
                  <c:v>809.6451793302748</c:v>
                </c:pt>
                <c:pt idx="778">
                  <c:v>809.6451793302748</c:v>
                </c:pt>
                <c:pt idx="779">
                  <c:v>809.6451793302748</c:v>
                </c:pt>
                <c:pt idx="780">
                  <c:v>809.6451793302748</c:v>
                </c:pt>
                <c:pt idx="781">
                  <c:v>809.6451793302748</c:v>
                </c:pt>
                <c:pt idx="782">
                  <c:v>809.6451793302748</c:v>
                </c:pt>
                <c:pt idx="783">
                  <c:v>809.6451793302748</c:v>
                </c:pt>
                <c:pt idx="784">
                  <c:v>809.6451793302748</c:v>
                </c:pt>
                <c:pt idx="785">
                  <c:v>809.6451793302748</c:v>
                </c:pt>
                <c:pt idx="786">
                  <c:v>809.6451793302748</c:v>
                </c:pt>
                <c:pt idx="787">
                  <c:v>809.6451793302748</c:v>
                </c:pt>
                <c:pt idx="788">
                  <c:v>809.6451793302748</c:v>
                </c:pt>
                <c:pt idx="789">
                  <c:v>809.6451793302748</c:v>
                </c:pt>
                <c:pt idx="790">
                  <c:v>809.6451793302748</c:v>
                </c:pt>
                <c:pt idx="791">
                  <c:v>809.6451793302748</c:v>
                </c:pt>
                <c:pt idx="792">
                  <c:v>809.6451793302748</c:v>
                </c:pt>
                <c:pt idx="793">
                  <c:v>809.6451793302748</c:v>
                </c:pt>
                <c:pt idx="794">
                  <c:v>809.6451793302748</c:v>
                </c:pt>
                <c:pt idx="795">
                  <c:v>809.6451793302748</c:v>
                </c:pt>
                <c:pt idx="796">
                  <c:v>809.6451793302748</c:v>
                </c:pt>
                <c:pt idx="797">
                  <c:v>809.6451793302748</c:v>
                </c:pt>
                <c:pt idx="798">
                  <c:v>809.6451793302748</c:v>
                </c:pt>
                <c:pt idx="799">
                  <c:v>809.6451793302748</c:v>
                </c:pt>
                <c:pt idx="800">
                  <c:v>809.6451793302748</c:v>
                </c:pt>
                <c:pt idx="801">
                  <c:v>809.6451793302748</c:v>
                </c:pt>
                <c:pt idx="802">
                  <c:v>809.6451793302748</c:v>
                </c:pt>
                <c:pt idx="803">
                  <c:v>809.6451793302748</c:v>
                </c:pt>
                <c:pt idx="804">
                  <c:v>809.6451793302748</c:v>
                </c:pt>
                <c:pt idx="805">
                  <c:v>809.6451793302748</c:v>
                </c:pt>
                <c:pt idx="806">
                  <c:v>809.6451793302748</c:v>
                </c:pt>
                <c:pt idx="807">
                  <c:v>809.6451793302748</c:v>
                </c:pt>
                <c:pt idx="808">
                  <c:v>809.6451793302748</c:v>
                </c:pt>
                <c:pt idx="809">
                  <c:v>809.6451793302748</c:v>
                </c:pt>
                <c:pt idx="810">
                  <c:v>809.6451793302748</c:v>
                </c:pt>
                <c:pt idx="811">
                  <c:v>809.6451793302748</c:v>
                </c:pt>
                <c:pt idx="812">
                  <c:v>809.6451793302748</c:v>
                </c:pt>
                <c:pt idx="813">
                  <c:v>809.6451793302748</c:v>
                </c:pt>
                <c:pt idx="814">
                  <c:v>809.6451793302748</c:v>
                </c:pt>
                <c:pt idx="815">
                  <c:v>809.6451793302748</c:v>
                </c:pt>
                <c:pt idx="816">
                  <c:v>809.6451793302748</c:v>
                </c:pt>
                <c:pt idx="817">
                  <c:v>809.6451793302748</c:v>
                </c:pt>
                <c:pt idx="818">
                  <c:v>809.6451793302748</c:v>
                </c:pt>
                <c:pt idx="819">
                  <c:v>809.6451793302748</c:v>
                </c:pt>
                <c:pt idx="820">
                  <c:v>809.6451793302748</c:v>
                </c:pt>
                <c:pt idx="821">
                  <c:v>809.6451793302748</c:v>
                </c:pt>
                <c:pt idx="822">
                  <c:v>809.6451793302748</c:v>
                </c:pt>
                <c:pt idx="823">
                  <c:v>809.6451793302748</c:v>
                </c:pt>
                <c:pt idx="824">
                  <c:v>809.6451793302748</c:v>
                </c:pt>
                <c:pt idx="825">
                  <c:v>809.6451793302748</c:v>
                </c:pt>
                <c:pt idx="826">
                  <c:v>809.6451793302748</c:v>
                </c:pt>
                <c:pt idx="827">
                  <c:v>809.6451793302748</c:v>
                </c:pt>
                <c:pt idx="828">
                  <c:v>809.6451793302748</c:v>
                </c:pt>
                <c:pt idx="829">
                  <c:v>809.6451793302748</c:v>
                </c:pt>
                <c:pt idx="830">
                  <c:v>809.6451793302748</c:v>
                </c:pt>
                <c:pt idx="831">
                  <c:v>809.6451793302748</c:v>
                </c:pt>
                <c:pt idx="832">
                  <c:v>809.6451793302748</c:v>
                </c:pt>
                <c:pt idx="833">
                  <c:v>809.6451793302748</c:v>
                </c:pt>
                <c:pt idx="834">
                  <c:v>809.6451793302748</c:v>
                </c:pt>
                <c:pt idx="835">
                  <c:v>809.6451793302748</c:v>
                </c:pt>
                <c:pt idx="836">
                  <c:v>809.6451793302748</c:v>
                </c:pt>
                <c:pt idx="837">
                  <c:v>809.6451793302748</c:v>
                </c:pt>
                <c:pt idx="838">
                  <c:v>809.6451793302748</c:v>
                </c:pt>
                <c:pt idx="839">
                  <c:v>809.6451793302748</c:v>
                </c:pt>
                <c:pt idx="840">
                  <c:v>809.6451793302748</c:v>
                </c:pt>
                <c:pt idx="841">
                  <c:v>809.6451793302748</c:v>
                </c:pt>
                <c:pt idx="842">
                  <c:v>809.6451793302748</c:v>
                </c:pt>
                <c:pt idx="843">
                  <c:v>809.6451793302748</c:v>
                </c:pt>
                <c:pt idx="844">
                  <c:v>809.6451793302748</c:v>
                </c:pt>
                <c:pt idx="845">
                  <c:v>809.6451793302748</c:v>
                </c:pt>
                <c:pt idx="846">
                  <c:v>809.6451793302748</c:v>
                </c:pt>
                <c:pt idx="847">
                  <c:v>809.6451793302748</c:v>
                </c:pt>
                <c:pt idx="848">
                  <c:v>809.6451793302748</c:v>
                </c:pt>
                <c:pt idx="849">
                  <c:v>809.6451793302748</c:v>
                </c:pt>
                <c:pt idx="850">
                  <c:v>809.6451793302748</c:v>
                </c:pt>
                <c:pt idx="851">
                  <c:v>809.6451793302748</c:v>
                </c:pt>
                <c:pt idx="852">
                  <c:v>809.6451793302748</c:v>
                </c:pt>
                <c:pt idx="853">
                  <c:v>809.6451793302748</c:v>
                </c:pt>
                <c:pt idx="854">
                  <c:v>809.6451793302748</c:v>
                </c:pt>
                <c:pt idx="855">
                  <c:v>809.6451793302748</c:v>
                </c:pt>
                <c:pt idx="856">
                  <c:v>809.6451793302748</c:v>
                </c:pt>
                <c:pt idx="857">
                  <c:v>809.6451793302748</c:v>
                </c:pt>
                <c:pt idx="858">
                  <c:v>809.6451793302748</c:v>
                </c:pt>
                <c:pt idx="859">
                  <c:v>809.6451793302748</c:v>
                </c:pt>
                <c:pt idx="860">
                  <c:v>809.6451793302748</c:v>
                </c:pt>
                <c:pt idx="861">
                  <c:v>809.6451793302748</c:v>
                </c:pt>
                <c:pt idx="862">
                  <c:v>809.6451793302748</c:v>
                </c:pt>
                <c:pt idx="863">
                  <c:v>809.6451793302748</c:v>
                </c:pt>
                <c:pt idx="864">
                  <c:v>809.6451793302748</c:v>
                </c:pt>
                <c:pt idx="865">
                  <c:v>809.6451793302748</c:v>
                </c:pt>
                <c:pt idx="866">
                  <c:v>809.6451793302748</c:v>
                </c:pt>
                <c:pt idx="867">
                  <c:v>809.6451793302748</c:v>
                </c:pt>
                <c:pt idx="868">
                  <c:v>809.6451793302748</c:v>
                </c:pt>
                <c:pt idx="869">
                  <c:v>809.6451793302748</c:v>
                </c:pt>
                <c:pt idx="870">
                  <c:v>809.6451793302748</c:v>
                </c:pt>
                <c:pt idx="871">
                  <c:v>809.6451793302748</c:v>
                </c:pt>
                <c:pt idx="872">
                  <c:v>809.6451793302748</c:v>
                </c:pt>
                <c:pt idx="873">
                  <c:v>809.6451793302748</c:v>
                </c:pt>
                <c:pt idx="874">
                  <c:v>809.6451793302748</c:v>
                </c:pt>
                <c:pt idx="875">
                  <c:v>809.6451793302748</c:v>
                </c:pt>
                <c:pt idx="876">
                  <c:v>809.6451793302748</c:v>
                </c:pt>
                <c:pt idx="877">
                  <c:v>809.6451793302748</c:v>
                </c:pt>
                <c:pt idx="878">
                  <c:v>809.6451793302748</c:v>
                </c:pt>
                <c:pt idx="879">
                  <c:v>809.6451793302748</c:v>
                </c:pt>
                <c:pt idx="880">
                  <c:v>809.6451793302748</c:v>
                </c:pt>
                <c:pt idx="881">
                  <c:v>809.6451793302748</c:v>
                </c:pt>
                <c:pt idx="882">
                  <c:v>809.6451793302748</c:v>
                </c:pt>
                <c:pt idx="883">
                  <c:v>809.6451793302748</c:v>
                </c:pt>
                <c:pt idx="884">
                  <c:v>809.6451793302748</c:v>
                </c:pt>
                <c:pt idx="885">
                  <c:v>809.6451793302748</c:v>
                </c:pt>
                <c:pt idx="886">
                  <c:v>809.6451793302748</c:v>
                </c:pt>
                <c:pt idx="887">
                  <c:v>809.6451793302748</c:v>
                </c:pt>
                <c:pt idx="888">
                  <c:v>809.6451793302748</c:v>
                </c:pt>
                <c:pt idx="889">
                  <c:v>809.6451793302748</c:v>
                </c:pt>
                <c:pt idx="890">
                  <c:v>809.6451793302748</c:v>
                </c:pt>
                <c:pt idx="891">
                  <c:v>809.6451793302748</c:v>
                </c:pt>
                <c:pt idx="892">
                  <c:v>809.6451793302748</c:v>
                </c:pt>
                <c:pt idx="893">
                  <c:v>809.6451793302748</c:v>
                </c:pt>
                <c:pt idx="894">
                  <c:v>809.6451793302748</c:v>
                </c:pt>
                <c:pt idx="895">
                  <c:v>809.6451793302748</c:v>
                </c:pt>
                <c:pt idx="896">
                  <c:v>809.6451793302748</c:v>
                </c:pt>
                <c:pt idx="897">
                  <c:v>809.6451793302748</c:v>
                </c:pt>
                <c:pt idx="898">
                  <c:v>809.6451793302748</c:v>
                </c:pt>
                <c:pt idx="899">
                  <c:v>809.6451793302748</c:v>
                </c:pt>
                <c:pt idx="900">
                  <c:v>809.6451793302748</c:v>
                </c:pt>
                <c:pt idx="901">
                  <c:v>809.6451793302748</c:v>
                </c:pt>
                <c:pt idx="902">
                  <c:v>809.6451793302748</c:v>
                </c:pt>
                <c:pt idx="903">
                  <c:v>809.6451793302748</c:v>
                </c:pt>
                <c:pt idx="904">
                  <c:v>809.6451793302748</c:v>
                </c:pt>
                <c:pt idx="905">
                  <c:v>809.6451793302748</c:v>
                </c:pt>
                <c:pt idx="906">
                  <c:v>809.6451793302748</c:v>
                </c:pt>
                <c:pt idx="907">
                  <c:v>809.6451793302748</c:v>
                </c:pt>
                <c:pt idx="908">
                  <c:v>809.6451793302748</c:v>
                </c:pt>
                <c:pt idx="909">
                  <c:v>809.6451793302748</c:v>
                </c:pt>
                <c:pt idx="910">
                  <c:v>809.6451793302748</c:v>
                </c:pt>
                <c:pt idx="911">
                  <c:v>809.6451793302748</c:v>
                </c:pt>
                <c:pt idx="912">
                  <c:v>809.6451793302748</c:v>
                </c:pt>
                <c:pt idx="913">
                  <c:v>809.6451793302748</c:v>
                </c:pt>
                <c:pt idx="914">
                  <c:v>809.6451793302748</c:v>
                </c:pt>
                <c:pt idx="915">
                  <c:v>809.6451793302748</c:v>
                </c:pt>
                <c:pt idx="916">
                  <c:v>809.6451793302748</c:v>
                </c:pt>
                <c:pt idx="917">
                  <c:v>809.6451793302748</c:v>
                </c:pt>
                <c:pt idx="918">
                  <c:v>809.6451793302748</c:v>
                </c:pt>
                <c:pt idx="919">
                  <c:v>809.6451793302748</c:v>
                </c:pt>
                <c:pt idx="920">
                  <c:v>809.6451793302748</c:v>
                </c:pt>
                <c:pt idx="921">
                  <c:v>809.6451793302748</c:v>
                </c:pt>
                <c:pt idx="922">
                  <c:v>809.6451793302748</c:v>
                </c:pt>
                <c:pt idx="923">
                  <c:v>809.6451793302748</c:v>
                </c:pt>
                <c:pt idx="924">
                  <c:v>809.6451793302748</c:v>
                </c:pt>
                <c:pt idx="925">
                  <c:v>809.6451793302748</c:v>
                </c:pt>
                <c:pt idx="926">
                  <c:v>809.6451793302748</c:v>
                </c:pt>
                <c:pt idx="927">
                  <c:v>809.6451793302748</c:v>
                </c:pt>
                <c:pt idx="928">
                  <c:v>809.6451793302748</c:v>
                </c:pt>
                <c:pt idx="929">
                  <c:v>809.6451793302748</c:v>
                </c:pt>
                <c:pt idx="930">
                  <c:v>809.6451793302748</c:v>
                </c:pt>
                <c:pt idx="931">
                  <c:v>809.6451793302748</c:v>
                </c:pt>
                <c:pt idx="932">
                  <c:v>809.6451793302748</c:v>
                </c:pt>
                <c:pt idx="933">
                  <c:v>809.6451793302748</c:v>
                </c:pt>
                <c:pt idx="934">
                  <c:v>809.6451793302748</c:v>
                </c:pt>
                <c:pt idx="935">
                  <c:v>809.6451793302748</c:v>
                </c:pt>
                <c:pt idx="936">
                  <c:v>809.6451793302748</c:v>
                </c:pt>
                <c:pt idx="937">
                  <c:v>809.6451793302748</c:v>
                </c:pt>
                <c:pt idx="938">
                  <c:v>809.6451793302748</c:v>
                </c:pt>
                <c:pt idx="939">
                  <c:v>809.6451793302748</c:v>
                </c:pt>
                <c:pt idx="940">
                  <c:v>809.6451793302748</c:v>
                </c:pt>
                <c:pt idx="941">
                  <c:v>809.6451793302748</c:v>
                </c:pt>
                <c:pt idx="942">
                  <c:v>809.6451793302748</c:v>
                </c:pt>
                <c:pt idx="943">
                  <c:v>809.6451793302748</c:v>
                </c:pt>
                <c:pt idx="944">
                  <c:v>809.6451793302748</c:v>
                </c:pt>
                <c:pt idx="945">
                  <c:v>809.6451793302748</c:v>
                </c:pt>
                <c:pt idx="946">
                  <c:v>809.6451793302748</c:v>
                </c:pt>
                <c:pt idx="947">
                  <c:v>809.6451793302748</c:v>
                </c:pt>
                <c:pt idx="948">
                  <c:v>809.6451793302748</c:v>
                </c:pt>
                <c:pt idx="949">
                  <c:v>809.6451793302748</c:v>
                </c:pt>
                <c:pt idx="950">
                  <c:v>809.6451793302748</c:v>
                </c:pt>
                <c:pt idx="951">
                  <c:v>809.6451793302748</c:v>
                </c:pt>
                <c:pt idx="952">
                  <c:v>809.6451793302748</c:v>
                </c:pt>
                <c:pt idx="953">
                  <c:v>809.6451793302748</c:v>
                </c:pt>
                <c:pt idx="954">
                  <c:v>809.6451793302748</c:v>
                </c:pt>
                <c:pt idx="955">
                  <c:v>809.6451793302748</c:v>
                </c:pt>
                <c:pt idx="956">
                  <c:v>809.6451793302748</c:v>
                </c:pt>
                <c:pt idx="957">
                  <c:v>809.6451793302748</c:v>
                </c:pt>
                <c:pt idx="958">
                  <c:v>809.6451793302748</c:v>
                </c:pt>
                <c:pt idx="959">
                  <c:v>809.6451793302748</c:v>
                </c:pt>
                <c:pt idx="960">
                  <c:v>809.6451793302748</c:v>
                </c:pt>
                <c:pt idx="961">
                  <c:v>809.6451793302748</c:v>
                </c:pt>
                <c:pt idx="962">
                  <c:v>809.6451793302748</c:v>
                </c:pt>
                <c:pt idx="963">
                  <c:v>809.6451793302748</c:v>
                </c:pt>
                <c:pt idx="964">
                  <c:v>809.6451793302748</c:v>
                </c:pt>
                <c:pt idx="965">
                  <c:v>809.6451793302748</c:v>
                </c:pt>
                <c:pt idx="966">
                  <c:v>809.6451793302748</c:v>
                </c:pt>
                <c:pt idx="967">
                  <c:v>809.6451793302748</c:v>
                </c:pt>
                <c:pt idx="968">
                  <c:v>809.6451793302748</c:v>
                </c:pt>
                <c:pt idx="969">
                  <c:v>809.6451793302748</c:v>
                </c:pt>
                <c:pt idx="970">
                  <c:v>809.6451793302748</c:v>
                </c:pt>
                <c:pt idx="971">
                  <c:v>809.6451793302748</c:v>
                </c:pt>
                <c:pt idx="972">
                  <c:v>809.6451793302748</c:v>
                </c:pt>
                <c:pt idx="973">
                  <c:v>809.6451793302748</c:v>
                </c:pt>
                <c:pt idx="974">
                  <c:v>809.6451793302748</c:v>
                </c:pt>
                <c:pt idx="975">
                  <c:v>809.6451793302748</c:v>
                </c:pt>
                <c:pt idx="976">
                  <c:v>809.6451793302748</c:v>
                </c:pt>
                <c:pt idx="977">
                  <c:v>809.6451793302748</c:v>
                </c:pt>
                <c:pt idx="978">
                  <c:v>809.6451793302748</c:v>
                </c:pt>
                <c:pt idx="979">
                  <c:v>809.6451793302748</c:v>
                </c:pt>
                <c:pt idx="980">
                  <c:v>809.6451793302748</c:v>
                </c:pt>
                <c:pt idx="981">
                  <c:v>809.6451793302748</c:v>
                </c:pt>
                <c:pt idx="982">
                  <c:v>809.6451793302748</c:v>
                </c:pt>
                <c:pt idx="983">
                  <c:v>809.6451793302748</c:v>
                </c:pt>
                <c:pt idx="984">
                  <c:v>809.6451793302748</c:v>
                </c:pt>
                <c:pt idx="985">
                  <c:v>809.6451793302748</c:v>
                </c:pt>
                <c:pt idx="986">
                  <c:v>809.6451793302748</c:v>
                </c:pt>
                <c:pt idx="987">
                  <c:v>809.6451793302748</c:v>
                </c:pt>
                <c:pt idx="988">
                  <c:v>809.6451793302748</c:v>
                </c:pt>
                <c:pt idx="989">
                  <c:v>809.6451793302748</c:v>
                </c:pt>
                <c:pt idx="990">
                  <c:v>809.6451793302748</c:v>
                </c:pt>
                <c:pt idx="991">
                  <c:v>809.6451793302748</c:v>
                </c:pt>
                <c:pt idx="992">
                  <c:v>809.6451793302748</c:v>
                </c:pt>
                <c:pt idx="993">
                  <c:v>809.6451793302748</c:v>
                </c:pt>
                <c:pt idx="994">
                  <c:v>809.6451793302748</c:v>
                </c:pt>
                <c:pt idx="995">
                  <c:v>809.6451793302748</c:v>
                </c:pt>
                <c:pt idx="996">
                  <c:v>809.6451793302748</c:v>
                </c:pt>
                <c:pt idx="997">
                  <c:v>809.6451793302748</c:v>
                </c:pt>
                <c:pt idx="998">
                  <c:v>809.6451793302748</c:v>
                </c:pt>
                <c:pt idx="999">
                  <c:v>809.6451793302748</c:v>
                </c:pt>
                <c:pt idx="1000">
                  <c:v>809.6451793302748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02-4CA2-BA56-E0E46E48A26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129.55127408431883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1485.4985708721606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02-4CA2-BA56-E0E46E48A26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714.74961669600577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1485.999438104004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02-4CA2-BA56-E0E46E48A26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{952FD7A5-AA22-4578-B18F-F46AEE375194}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524.95849142746761</c:v>
                </c:pt>
                <c:pt idx="1">
                  <c:v>547.95849142746761</c:v>
                </c:pt>
                <c:pt idx="2">
                  <c:v>547.95849142746761</c:v>
                </c:pt>
                <c:pt idx="3">
                  <c:v>524.95849142746761</c:v>
                </c:pt>
                <c:pt idx="4">
                  <c:v>547.95849142746761</c:v>
                </c:pt>
                <c:pt idx="5">
                  <c:v>547.95849142746761</c:v>
                </c:pt>
                <c:pt idx="6">
                  <c:v>532.95849142746761</c:v>
                </c:pt>
                <c:pt idx="7">
                  <c:v>532.95849142746761</c:v>
                </c:pt>
                <c:pt idx="8">
                  <c:v>547.95849142746761</c:v>
                </c:pt>
                <c:pt idx="9">
                  <c:v>532.95849142746761</c:v>
                </c:pt>
                <c:pt idx="10">
                  <c:v>532.55849142746763</c:v>
                </c:pt>
                <c:pt idx="11">
                  <c:v>531.75849142746756</c:v>
                </c:pt>
                <c:pt idx="12">
                  <c:v>530.95849142746761</c:v>
                </c:pt>
                <c:pt idx="13">
                  <c:v>529.95849142746761</c:v>
                </c:pt>
                <c:pt idx="14">
                  <c:v>528.75849142746756</c:v>
                </c:pt>
                <c:pt idx="15">
                  <c:v>524.95849142746761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02-4CA2-BA56-E0E46E48A26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524.95849142746761</c:v>
                </c:pt>
                <c:pt idx="1">
                  <c:v>501.95849142746761</c:v>
                </c:pt>
                <c:pt idx="2">
                  <c:v>501.95849142746761</c:v>
                </c:pt>
                <c:pt idx="3">
                  <c:v>524.95849142746761</c:v>
                </c:pt>
                <c:pt idx="4">
                  <c:v>501.95849142746761</c:v>
                </c:pt>
                <c:pt idx="5">
                  <c:v>501.95849142746761</c:v>
                </c:pt>
                <c:pt idx="6">
                  <c:v>516.95849142746761</c:v>
                </c:pt>
                <c:pt idx="7">
                  <c:v>516.95849142746761</c:v>
                </c:pt>
                <c:pt idx="8">
                  <c:v>501.95849142746761</c:v>
                </c:pt>
                <c:pt idx="9">
                  <c:v>516.95849142746761</c:v>
                </c:pt>
                <c:pt idx="10">
                  <c:v>517.35849142746758</c:v>
                </c:pt>
                <c:pt idx="11">
                  <c:v>518.15849142746765</c:v>
                </c:pt>
                <c:pt idx="12">
                  <c:v>518.95849142746761</c:v>
                </c:pt>
                <c:pt idx="13">
                  <c:v>519.95849142746761</c:v>
                </c:pt>
                <c:pt idx="14">
                  <c:v>521.15849142746765</c:v>
                </c:pt>
                <c:pt idx="15">
                  <c:v>524.95849142746761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02-4CA2-BA56-E0E46E48A26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{21600BC4-936A-49F0-9F42-E567AF39DCF3}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524.95849142746761</c:v>
                </c:pt>
                <c:pt idx="1">
                  <c:v>524.95849142746761</c:v>
                </c:pt>
                <c:pt idx="2">
                  <c:v>534.95849142746761</c:v>
                </c:pt>
                <c:pt idx="3">
                  <c:v>524.95849142746761</c:v>
                </c:pt>
                <c:pt idx="4">
                  <c:v>534.95849142746761</c:v>
                </c:pt>
                <c:pt idx="5">
                  <c:v>537.95849142746761</c:v>
                </c:pt>
                <c:pt idx="6">
                  <c:v>541.95849142746761</c:v>
                </c:pt>
                <c:pt idx="7">
                  <c:v>544.95849142746761</c:v>
                </c:pt>
                <c:pt idx="8">
                  <c:v>549.95849142746761</c:v>
                </c:pt>
                <c:pt idx="9">
                  <c:v>554.95849142746761</c:v>
                </c:pt>
                <c:pt idx="10">
                  <c:v>560.95849142746761</c:v>
                </c:pt>
                <c:pt idx="11">
                  <c:v>572.95849142746761</c:v>
                </c:pt>
                <c:pt idx="12">
                  <c:v>586.95849142746761</c:v>
                </c:pt>
                <c:pt idx="13">
                  <c:v>561.95849142746761</c:v>
                </c:pt>
                <c:pt idx="14">
                  <c:v>554.95849142746761</c:v>
                </c:pt>
                <c:pt idx="15">
                  <c:v>539.95849142746761</c:v>
                </c:pt>
                <c:pt idx="16">
                  <c:v>524.95849142746761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02-4CA2-BA56-E0E46E48A26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524.95849142746761</c:v>
                </c:pt>
                <c:pt idx="1">
                  <c:v>524.95849142746761</c:v>
                </c:pt>
                <c:pt idx="2">
                  <c:v>514.95849142746761</c:v>
                </c:pt>
                <c:pt idx="3">
                  <c:v>524.95849142746761</c:v>
                </c:pt>
                <c:pt idx="4">
                  <c:v>514.95849142746761</c:v>
                </c:pt>
                <c:pt idx="5">
                  <c:v>511.95849142746761</c:v>
                </c:pt>
                <c:pt idx="6">
                  <c:v>507.95849142746761</c:v>
                </c:pt>
                <c:pt idx="7">
                  <c:v>504.95849142746761</c:v>
                </c:pt>
                <c:pt idx="8">
                  <c:v>499.95849142746761</c:v>
                </c:pt>
                <c:pt idx="9">
                  <c:v>494.95849142746761</c:v>
                </c:pt>
                <c:pt idx="10">
                  <c:v>488.95849142746761</c:v>
                </c:pt>
                <c:pt idx="11">
                  <c:v>476.95849142746761</c:v>
                </c:pt>
                <c:pt idx="12">
                  <c:v>462.95849142746761</c:v>
                </c:pt>
                <c:pt idx="13">
                  <c:v>487.95849142746761</c:v>
                </c:pt>
                <c:pt idx="14">
                  <c:v>494.95849142746761</c:v>
                </c:pt>
                <c:pt idx="15">
                  <c:v>509.95849142746761</c:v>
                </c:pt>
                <c:pt idx="16">
                  <c:v>524.95849142746761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02-4CA2-BA56-E0E46E48A26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524.95849142746761</c:v>
                </c:pt>
                <c:pt idx="1">
                  <c:v>541.95849142746761</c:v>
                </c:pt>
                <c:pt idx="2">
                  <c:v>535.95849142746761</c:v>
                </c:pt>
                <c:pt idx="3">
                  <c:v>524.95849142746761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2-4CA2-BA56-E0E46E48A26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524.95849142746761</c:v>
                </c:pt>
                <c:pt idx="1">
                  <c:v>507.95849142746761</c:v>
                </c:pt>
                <c:pt idx="2">
                  <c:v>513.95849142746761</c:v>
                </c:pt>
                <c:pt idx="3">
                  <c:v>524.95849142746761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2-4CA2-BA56-E0E46E48A26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{69ECD1BC-A07A-4D49-9326-8075353558A5}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B302-4CA2-BA56-E0E46E48A2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518.20509633727534</c:v>
                </c:pt>
                <c:pt idx="1">
                  <c:v>518.20509633727534</c:v>
                </c:pt>
                <c:pt idx="2">
                  <c:v>518.20509633727534</c:v>
                </c:pt>
                <c:pt idx="3">
                  <c:v>592.48002488088332</c:v>
                </c:pt>
                <c:pt idx="4">
                  <c:v>518.20509633727534</c:v>
                </c:pt>
                <c:pt idx="5">
                  <c:v>443.93016779366729</c:v>
                </c:pt>
                <c:pt idx="6">
                  <c:v>518.20509633727534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2970.9971417443212</c:v>
                </c:pt>
                <c:pt idx="1">
                  <c:v>1485.4985708721606</c:v>
                </c:pt>
                <c:pt idx="2">
                  <c:v>0</c:v>
                </c:pt>
                <c:pt idx="3">
                  <c:v>148.54985708721605</c:v>
                </c:pt>
                <c:pt idx="4">
                  <c:v>0</c:v>
                </c:pt>
                <c:pt idx="5">
                  <c:v>148.54985708721605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02-4CA2-BA56-E0E46E48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1024"/>
        <c:axId val="149054208"/>
      </c:scatterChart>
      <c:valAx>
        <c:axId val="148241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86"/>
              <c:y val="0.84829693458129063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054208"/>
        <c:crosses val="autoZero"/>
        <c:crossBetween val="midCat"/>
      </c:valAx>
      <c:valAx>
        <c:axId val="1490542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413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824102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746430001334583E-2"/>
          <c:y val="4.8186995493487844E-2"/>
          <c:w val="0.89333624132890843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2971.9988762080079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567-B7A1-067915120221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-1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10.999999999999993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11.999999999999972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12.999999999999956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13.999999999999952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14.999999999999948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15.999999999999945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16.999999999999957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17.999999999999972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18.999999999999986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21.000000000000014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22.000000000000028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23.000000000000043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24.000000000000057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25.000000000000071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26.000000000000085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27.000000000000099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28.000000000000114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29.000000000000128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30.000000000000142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31.000000000000156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32.000000000000171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33.000000000000185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34.000000000000199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35.000000000000213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36.000000000000227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37.000000000000242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38.000000000000256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39.00000000000027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40.000000000000284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41.000000000000298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42.000000000000313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43.000000000000327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44.000000000000341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45.000000000000355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46.000000000000369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47.000000000000384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48.000000000000398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49.000000000000412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50.000000000000426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51.000000000000441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52.000000000000455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53.000000000000469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54.000000000000483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55.000000000000497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56.000000000000512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57.000000000000526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2970.9971417443212</c:v>
                </c:pt>
                <c:pt idx="304">
                  <c:v>2971.3953145678793</c:v>
                </c:pt>
                <c:pt idx="305">
                  <c:v>2971.6949141362215</c:v>
                </c:pt>
                <c:pt idx="306">
                  <c:v>2971.8960620863168</c:v>
                </c:pt>
                <c:pt idx="307">
                  <c:v>2971.9988762080079</c:v>
                </c:pt>
                <c:pt idx="308">
                  <c:v>2972.0034715528336</c:v>
                </c:pt>
                <c:pt idx="309">
                  <c:v>2971.9099615737468</c:v>
                </c:pt>
                <c:pt idx="310">
                  <c:v>2971.7184592785279</c:v>
                </c:pt>
                <c:pt idx="311">
                  <c:v>2971.4290783782367</c:v>
                </c:pt>
                <c:pt idx="312">
                  <c:v>2971.0419344118513</c:v>
                </c:pt>
                <c:pt idx="313">
                  <c:v>2970.5571458293653</c:v>
                </c:pt>
                <c:pt idx="314">
                  <c:v>2969.9748350178547</c:v>
                </c:pt>
                <c:pt idx="315">
                  <c:v>2969.2951292581247</c:v>
                </c:pt>
                <c:pt idx="316">
                  <c:v>2968.5181616030791</c:v>
                </c:pt>
                <c:pt idx="317">
                  <c:v>2967.6440716725583</c:v>
                </c:pt>
                <c:pt idx="318">
                  <c:v>2966.6730063627283</c:v>
                </c:pt>
                <c:pt idx="319">
                  <c:v>2965.6051204709306</c:v>
                </c:pt>
                <c:pt idx="320">
                  <c:v>2964.4405772391428</c:v>
                </c:pt>
                <c:pt idx="321">
                  <c:v>2963.1795488207717</c:v>
                </c:pt>
                <c:pt idx="322">
                  <c:v>2961.8222166765058</c:v>
                </c:pt>
                <c:pt idx="323">
                  <c:v>2960.3687719054647</c:v>
                </c:pt>
                <c:pt idx="324">
                  <c:v>2958.8194155179826</c:v>
                </c:pt>
                <c:pt idx="325">
                  <c:v>2957.1743586562143</c:v>
                </c:pt>
                <c:pt idx="326">
                  <c:v>2955.4338227683847</c:v>
                </c:pt>
                <c:pt idx="327">
                  <c:v>2953.5980397420494</c:v>
                </c:pt>
                <c:pt idx="328">
                  <c:v>2951.667252001208</c:v>
                </c:pt>
                <c:pt idx="329">
                  <c:v>2949.6417125715961</c:v>
                </c:pt>
                <c:pt idx="330">
                  <c:v>2947.5216851179648</c:v>
                </c:pt>
                <c:pt idx="331">
                  <c:v>2945.3074439566803</c:v>
                </c:pt>
                <c:pt idx="332">
                  <c:v>2942.9992740465523</c:v>
                </c:pt>
                <c:pt idx="333">
                  <c:v>2940.5974709604016</c:v>
                </c:pt>
                <c:pt idx="334">
                  <c:v>2938.1023408395531</c:v>
                </c:pt>
                <c:pt idx="335">
                  <c:v>2935.5142003331289</c:v>
                </c:pt>
                <c:pt idx="336">
                  <c:v>2932.8333765237721</c:v>
                </c:pt>
                <c:pt idx="337">
                  <c:v>2930.060206841214</c:v>
                </c:pt>
                <c:pt idx="338">
                  <c:v>2927.1950389648991</c:v>
                </c:pt>
                <c:pt idx="339">
                  <c:v>2924.2382307167386</c:v>
                </c:pt>
                <c:pt idx="340">
                  <c:v>2921.1901499449173</c:v>
                </c:pt>
                <c:pt idx="341">
                  <c:v>2918.0511743995671</c:v>
                </c:pt>
                <c:pt idx="342">
                  <c:v>2914.8216916010301</c:v>
                </c:pt>
                <c:pt idx="343">
                  <c:v>2911.5020987013381</c:v>
                </c:pt>
                <c:pt idx="344">
                  <c:v>2908.0928023394836</c:v>
                </c:pt>
                <c:pt idx="345">
                  <c:v>2904.5942184909845</c:v>
                </c:pt>
                <c:pt idx="346">
                  <c:v>2901.006772312202</c:v>
                </c:pt>
                <c:pt idx="347">
                  <c:v>2897.3308979798253</c:v>
                </c:pt>
                <c:pt idx="348">
                  <c:v>2893.5670385259045</c:v>
                </c:pt>
                <c:pt idx="349">
                  <c:v>2889.7156456687803</c:v>
                </c:pt>
                <c:pt idx="350">
                  <c:v>2885.7771796402303</c:v>
                </c:pt>
                <c:pt idx="351">
                  <c:v>2881.7521090091359</c:v>
                </c:pt>
                <c:pt idx="352">
                  <c:v>2877.6409105019447</c:v>
                </c:pt>
                <c:pt idx="353">
                  <c:v>2873.444068820198</c:v>
                </c:pt>
                <c:pt idx="354">
                  <c:v>2869.1620764553677</c:v>
                </c:pt>
                <c:pt idx="355">
                  <c:v>2864.7954335012432</c:v>
                </c:pt>
                <c:pt idx="356">
                  <c:v>2860.3446474640909</c:v>
                </c:pt>
                <c:pt idx="357">
                  <c:v>2855.8102330708007</c:v>
                </c:pt>
                <c:pt idx="358">
                  <c:v>2851.1927120752316</c:v>
                </c:pt>
                <c:pt idx="359">
                  <c:v>2846.4926130629501</c:v>
                </c:pt>
                <c:pt idx="360">
                  <c:v>2841.7104712545547</c:v>
                </c:pt>
                <c:pt idx="361">
                  <c:v>2836.8468283077732</c:v>
                </c:pt>
                <c:pt idx="362">
                  <c:v>2831.9022321185121</c:v>
                </c:pt>
                <c:pt idx="363">
                  <c:v>2826.8772366210314</c:v>
                </c:pt>
                <c:pt idx="364">
                  <c:v>2821.7724015874146</c:v>
                </c:pt>
                <c:pt idx="365">
                  <c:v>2816.5882924264952</c:v>
                </c:pt>
                <c:pt idx="366">
                  <c:v>2811.3254799824058</c:v>
                </c:pt>
                <c:pt idx="367">
                  <c:v>2805.9845403328986</c:v>
                </c:pt>
                <c:pt idx="368">
                  <c:v>2800.5660545875908</c:v>
                </c:pt>
                <c:pt idx="369">
                  <c:v>2795.0706086862824</c:v>
                </c:pt>
                <c:pt idx="370">
                  <c:v>2789.4987931974902</c:v>
                </c:pt>
                <c:pt idx="371">
                  <c:v>2783.8512031173332</c:v>
                </c:pt>
                <c:pt idx="372">
                  <c:v>2778.1284376689096</c:v>
                </c:pt>
                <c:pt idx="373">
                  <c:v>2772.3311001022935</c:v>
                </c:pt>
                <c:pt idx="374">
                  <c:v>2766.4597974952812</c:v>
                </c:pt>
                <c:pt idx="375">
                  <c:v>2760.5151405550087</c:v>
                </c:pt>
                <c:pt idx="376">
                  <c:v>2754.4977434205643</c:v>
                </c:pt>
                <c:pt idx="377">
                  <c:v>2748.4082234667085</c:v>
                </c:pt>
                <c:pt idx="378">
                  <c:v>2742.2472011088189</c:v>
                </c:pt>
                <c:pt idx="379">
                  <c:v>2736.0152996091647</c:v>
                </c:pt>
                <c:pt idx="380">
                  <c:v>2729.7131448846221</c:v>
                </c:pt>
                <c:pt idx="381">
                  <c:v>2723.3413653159255</c:v>
                </c:pt>
                <c:pt idx="382">
                  <c:v>2716.9005915585594</c:v>
                </c:pt>
                <c:pt idx="383">
                  <c:v>2710.3914563553831</c:v>
                </c:pt>
                <c:pt idx="384">
                  <c:v>2703.8145943510767</c:v>
                </c:pt>
                <c:pt idx="385">
                  <c:v>2697.1706419085017</c:v>
                </c:pt>
                <c:pt idx="386">
                  <c:v>2690.4602369270528</c:v>
                </c:pt>
                <c:pt idx="387">
                  <c:v>2683.6840186630884</c:v>
                </c:pt>
                <c:pt idx="388">
                  <c:v>2676.8426275525094</c:v>
                </c:pt>
                <c:pt idx="389">
                  <c:v>2669.936705035565</c:v>
                </c:pt>
                <c:pt idx="390">
                  <c:v>2662.9668933839516</c:v>
                </c:pt>
                <c:pt idx="391">
                  <c:v>2655.9338355302707</c:v>
                </c:pt>
                <c:pt idx="392">
                  <c:v>2648.83817489991</c:v>
                </c:pt>
                <c:pt idx="393">
                  <c:v>2641.6805552454057</c:v>
                </c:pt>
                <c:pt idx="394">
                  <c:v>2634.4616204833383</c:v>
                </c:pt>
                <c:pt idx="395">
                  <c:v>2627.1820145338206</c:v>
                </c:pt>
                <c:pt idx="396">
                  <c:v>2619.8423811626185</c:v>
                </c:pt>
                <c:pt idx="397">
                  <c:v>2612.4433638259557</c:v>
                </c:pt>
                <c:pt idx="398">
                  <c:v>2604.9856055180412</c:v>
                </c:pt>
                <c:pt idx="399">
                  <c:v>2597.4697486213586</c:v>
                </c:pt>
                <c:pt idx="400">
                  <c:v>2589.8964347597544</c:v>
                </c:pt>
                <c:pt idx="401">
                  <c:v>2582.266304654353</c:v>
                </c:pt>
                <c:pt idx="402">
                  <c:v>2574.5799979823332</c:v>
                </c:pt>
                <c:pt idx="403">
                  <c:v>2566.8381532385865</c:v>
                </c:pt>
                <c:pt idx="404">
                  <c:v>2559.0414076002853</c:v>
                </c:pt>
                <c:pt idx="405">
                  <c:v>2551.1903967943772</c:v>
                </c:pt>
                <c:pt idx="406">
                  <c:v>2543.285754968023</c:v>
                </c:pt>
                <c:pt idx="407">
                  <c:v>2535.3281145619962</c:v>
                </c:pt>
                <c:pt idx="408">
                  <c:v>2527.31810618705</c:v>
                </c:pt>
                <c:pt idx="409">
                  <c:v>2519.2563585032653</c:v>
                </c:pt>
                <c:pt idx="410">
                  <c:v>2511.1434981023826</c:v>
                </c:pt>
                <c:pt idx="411">
                  <c:v>2502.9801493931245</c:v>
                </c:pt>
                <c:pt idx="412">
                  <c:v>2494.7669344895066</c:v>
                </c:pt>
                <c:pt idx="413">
                  <c:v>2486.5044731021389</c:v>
                </c:pt>
                <c:pt idx="414">
                  <c:v>2478.1933824325101</c:v>
                </c:pt>
                <c:pt idx="415">
                  <c:v>2469.8342770702548</c:v>
                </c:pt>
                <c:pt idx="416">
                  <c:v>2461.4277688933871</c:v>
                </c:pt>
                <c:pt idx="417">
                  <c:v>2452.9744669714996</c:v>
                </c:pt>
                <c:pt idx="418">
                  <c:v>2444.4749774719089</c:v>
                </c:pt>
                <c:pt idx="419">
                  <c:v>2435.9299035687359</c:v>
                </c:pt>
                <c:pt idx="420">
                  <c:v>2427.339845354903</c:v>
                </c:pt>
                <c:pt idx="421">
                  <c:v>2418.7053997570342</c:v>
                </c:pt>
                <c:pt idx="422">
                  <c:v>2410.027160453234</c:v>
                </c:pt>
                <c:pt idx="423">
                  <c:v>2401.3057177937258</c:v>
                </c:pt>
                <c:pt idx="424">
                  <c:v>2392.5416587243244</c:v>
                </c:pt>
                <c:pt idx="425">
                  <c:v>2383.735566712724</c:v>
                </c:pt>
                <c:pt idx="426">
                  <c:v>2374.8880216775669</c:v>
                </c:pt>
                <c:pt idx="427">
                  <c:v>2365.9995999202733</c:v>
                </c:pt>
                <c:pt idx="428">
                  <c:v>2357.0708740595987</c:v>
                </c:pt>
                <c:pt idx="429">
                  <c:v>2348.1024129688894</c:v>
                </c:pt>
                <c:pt idx="430">
                  <c:v>2339.0947817160086</c:v>
                </c:pt>
                <c:pt idx="431">
                  <c:v>2330.0485415058952</c:v>
                </c:pt>
                <c:pt idx="432">
                  <c:v>2320.9642496257256</c:v>
                </c:pt>
                <c:pt idx="433">
                  <c:v>2311.8424593926438</c:v>
                </c:pt>
                <c:pt idx="434">
                  <c:v>2302.6837201040221</c:v>
                </c:pt>
                <c:pt idx="435">
                  <c:v>2293.4885769902194</c:v>
                </c:pt>
                <c:pt idx="436">
                  <c:v>2284.2575711697991</c:v>
                </c:pt>
                <c:pt idx="437">
                  <c:v>2274.9912396071663</c:v>
                </c:pt>
                <c:pt idx="438">
                  <c:v>2265.6901150725907</c:v>
                </c:pt>
                <c:pt idx="439">
                  <c:v>2256.3547261045719</c:v>
                </c:pt>
                <c:pt idx="440">
                  <c:v>2246.9855969745108</c:v>
                </c:pt>
                <c:pt idx="441">
                  <c:v>2237.5832476536439</c:v>
                </c:pt>
                <c:pt idx="442">
                  <c:v>2228.1481937822023</c:v>
                </c:pt>
                <c:pt idx="443">
                  <c:v>2218.6809466407562</c:v>
                </c:pt>
                <c:pt idx="444">
                  <c:v>2209.1820131236977</c:v>
                </c:pt>
                <c:pt idx="445">
                  <c:v>2199.6518957148264</c:v>
                </c:pt>
                <c:pt idx="446">
                  <c:v>2190.0910924649934</c:v>
                </c:pt>
                <c:pt idx="447">
                  <c:v>2180.5000969717616</c:v>
                </c:pt>
                <c:pt idx="448">
                  <c:v>2170.8793983610421</c:v>
                </c:pt>
                <c:pt idx="449">
                  <c:v>2161.2294812706609</c:v>
                </c:pt>
                <c:pt idx="450">
                  <c:v>2151.5508258358168</c:v>
                </c:pt>
                <c:pt idx="451">
                  <c:v>2141.8439076763875</c:v>
                </c:pt>
                <c:pt idx="452">
                  <c:v>2132.1091978860409</c:v>
                </c:pt>
                <c:pt idx="453">
                  <c:v>2122.3471630231102</c:v>
                </c:pt>
                <c:pt idx="454">
                  <c:v>2112.5582651031882</c:v>
                </c:pt>
                <c:pt idx="455">
                  <c:v>2102.7429615934029</c:v>
                </c:pt>
                <c:pt idx="456">
                  <c:v>2092.9017054083292</c:v>
                </c:pt>
                <c:pt idx="457">
                  <c:v>2083.0349449074961</c:v>
                </c:pt>
                <c:pt idx="458">
                  <c:v>2073.1431238944479</c:v>
                </c:pt>
                <c:pt idx="459">
                  <c:v>2063.2266816173169</c:v>
                </c:pt>
                <c:pt idx="460">
                  <c:v>2053.2860527708708</c:v>
                </c:pt>
                <c:pt idx="461">
                  <c:v>2043.3216674999878</c:v>
                </c:pt>
                <c:pt idx="462">
                  <c:v>2033.333951404524</c:v>
                </c:pt>
                <c:pt idx="463">
                  <c:v>2023.3233255455307</c:v>
                </c:pt>
                <c:pt idx="464">
                  <c:v>2013.2902064527837</c:v>
                </c:pt>
                <c:pt idx="465">
                  <c:v>2003.2350061335831</c:v>
                </c:pt>
                <c:pt idx="466">
                  <c:v>1993.1581320827861</c:v>
                </c:pt>
                <c:pt idx="467">
                  <c:v>1983.0599872940354</c:v>
                </c:pt>
                <c:pt idx="468">
                  <c:v>1972.9409702721423</c:v>
                </c:pt>
                <c:pt idx="469">
                  <c:v>1962.8014750465898</c:v>
                </c:pt>
                <c:pt idx="470">
                  <c:v>1952.6418911861169</c:v>
                </c:pt>
                <c:pt idx="471">
                  <c:v>1942.4626038143494</c:v>
                </c:pt>
                <c:pt idx="472">
                  <c:v>1932.2639936264379</c:v>
                </c:pt>
                <c:pt idx="473">
                  <c:v>1922.0464369066713</c:v>
                </c:pt>
                <c:pt idx="474">
                  <c:v>1911.8103055470281</c:v>
                </c:pt>
                <c:pt idx="475">
                  <c:v>1901.5559670666319</c:v>
                </c:pt>
                <c:pt idx="476">
                  <c:v>1891.2837846320772</c:v>
                </c:pt>
                <c:pt idx="477">
                  <c:v>1880.9941170785924</c:v>
                </c:pt>
                <c:pt idx="478">
                  <c:v>1870.6873189320063</c:v>
                </c:pt>
                <c:pt idx="479">
                  <c:v>1860.3637404314861</c:v>
                </c:pt>
                <c:pt idx="480">
                  <c:v>1850.0237275530167</c:v>
                </c:pt>
                <c:pt idx="481">
                  <c:v>1839.6676220335864</c:v>
                </c:pt>
                <c:pt idx="482">
                  <c:v>1829.2957613960546</c:v>
                </c:pt>
                <c:pt idx="483">
                  <c:v>1818.9084789746635</c:v>
                </c:pt>
                <c:pt idx="484">
                  <c:v>1808.5061039411728</c:v>
                </c:pt>
                <c:pt idx="485">
                  <c:v>1798.0889613315821</c:v>
                </c:pt>
                <c:pt idx="486">
                  <c:v>1787.6573720734157</c:v>
                </c:pt>
                <c:pt idx="487">
                  <c:v>1777.2116530135418</c:v>
                </c:pt>
                <c:pt idx="488">
                  <c:v>1766.7521169464999</c:v>
                </c:pt>
                <c:pt idx="489">
                  <c:v>1756.2790726433072</c:v>
                </c:pt>
                <c:pt idx="490">
                  <c:v>1745.7928248807218</c:v>
                </c:pt>
                <c:pt idx="491">
                  <c:v>1735.2936744709336</c:v>
                </c:pt>
                <c:pt idx="492">
                  <c:v>1724.7819182916617</c:v>
                </c:pt>
                <c:pt idx="493">
                  <c:v>1714.2578493166316</c:v>
                </c:pt>
                <c:pt idx="494">
                  <c:v>1703.7217566464099</c:v>
                </c:pt>
                <c:pt idx="495">
                  <c:v>1693.1739255395732</c:v>
                </c:pt>
                <c:pt idx="496">
                  <c:v>1682.6146374441892</c:v>
                </c:pt>
                <c:pt idx="497">
                  <c:v>1672.0441700295855</c:v>
                </c:pt>
                <c:pt idx="498">
                  <c:v>1661.4627972183907</c:v>
                </c:pt>
                <c:pt idx="499">
                  <c:v>1650.8707892188197</c:v>
                </c:pt>
                <c:pt idx="500">
                  <c:v>1640.2684125571884</c:v>
                </c:pt>
                <c:pt idx="501">
                  <c:v>1629.6559301106361</c:v>
                </c:pt>
                <c:pt idx="502">
                  <c:v>1619.0336011400361</c:v>
                </c:pt>
                <c:pt idx="503">
                  <c:v>1608.4016813230771</c:v>
                </c:pt>
                <c:pt idx="504">
                  <c:v>1597.7604227874958</c:v>
                </c:pt>
                <c:pt idx="505">
                  <c:v>1587.110074144445</c:v>
                </c:pt>
                <c:pt idx="506">
                  <c:v>1576.450880521978</c:v>
                </c:pt>
                <c:pt idx="507">
                  <c:v>1565.7830835986347</c:v>
                </c:pt>
                <c:pt idx="508">
                  <c:v>1555.106921637112</c:v>
                </c:pt>
                <c:pt idx="509">
                  <c:v>1544.4226295180031</c:v>
                </c:pt>
                <c:pt idx="510">
                  <c:v>1533.7304387735917</c:v>
                </c:pt>
                <c:pt idx="511">
                  <c:v>1523.0305776216844</c:v>
                </c:pt>
                <c:pt idx="512">
                  <c:v>1512.3232709994697</c:v>
                </c:pt>
                <c:pt idx="513">
                  <c:v>1501.6087405973876</c:v>
                </c:pt>
                <c:pt idx="514">
                  <c:v>1490.8872048929979</c:v>
                </c:pt>
                <c:pt idx="515">
                  <c:v>1480.1588791848339</c:v>
                </c:pt>
                <c:pt idx="516">
                  <c:v>1469.4239756262286</c:v>
                </c:pt>
                <c:pt idx="517">
                  <c:v>1458.6827032591034</c:v>
                </c:pt>
                <c:pt idx="518">
                  <c:v>1447.9352680477048</c:v>
                </c:pt>
                <c:pt idx="519">
                  <c:v>1437.1818729122808</c:v>
                </c:pt>
                <c:pt idx="520">
                  <c:v>1426.4227177626844</c:v>
                </c:pt>
                <c:pt idx="521">
                  <c:v>1415.6579995318946</c:v>
                </c:pt>
                <c:pt idx="522">
                  <c:v>1404.8879122094447</c:v>
                </c:pt>
                <c:pt idx="523">
                  <c:v>1394.1126468747489</c:v>
                </c:pt>
                <c:pt idx="524">
                  <c:v>1383.3323917303173</c:v>
                </c:pt>
                <c:pt idx="525">
                  <c:v>1372.5473321348506</c:v>
                </c:pt>
                <c:pt idx="526">
                  <c:v>1361.7576506362068</c:v>
                </c:pt>
                <c:pt idx="527">
                  <c:v>1350.9635270042299</c:v>
                </c:pt>
                <c:pt idx="528">
                  <c:v>1340.1651382634357</c:v>
                </c:pt>
                <c:pt idx="529">
                  <c:v>1329.3626587255433</c:v>
                </c:pt>
                <c:pt idx="530">
                  <c:v>1318.5562600218504</c:v>
                </c:pt>
                <c:pt idx="531">
                  <c:v>1307.7461111354398</c:v>
                </c:pt>
                <c:pt idx="532">
                  <c:v>1296.9323784332148</c:v>
                </c:pt>
                <c:pt idx="533">
                  <c:v>1286.1152256977555</c:v>
                </c:pt>
                <c:pt idx="534">
                  <c:v>1275.2948141589904</c:v>
                </c:pt>
                <c:pt idx="535">
                  <c:v>1264.4713025256781</c:v>
                </c:pt>
                <c:pt idx="536">
                  <c:v>1253.6448470166922</c:v>
                </c:pt>
                <c:pt idx="537">
                  <c:v>1242.8156013921071</c:v>
                </c:pt>
                <c:pt idx="538">
                  <c:v>1231.9837169840762</c:v>
                </c:pt>
                <c:pt idx="539">
                  <c:v>1221.149342727502</c:v>
                </c:pt>
                <c:pt idx="540">
                  <c:v>1210.3126251904898</c:v>
                </c:pt>
                <c:pt idx="541">
                  <c:v>1199.4737086045841</c:v>
                </c:pt>
                <c:pt idx="542">
                  <c:v>1188.6327348947823</c:v>
                </c:pt>
                <c:pt idx="543">
                  <c:v>1177.789843709322</c:v>
                </c:pt>
                <c:pt idx="544">
                  <c:v>1166.9451724492392</c:v>
                </c:pt>
                <c:pt idx="545">
                  <c:v>1156.0988562976936</c:v>
                </c:pt>
                <c:pt idx="546">
                  <c:v>1145.2510282490591</c:v>
                </c:pt>
                <c:pt idx="547">
                  <c:v>1134.4018191377752</c:v>
                </c:pt>
                <c:pt idx="548">
                  <c:v>1123.551357666958</c:v>
                </c:pt>
                <c:pt idx="549">
                  <c:v>1112.6997704367675</c:v>
                </c:pt>
                <c:pt idx="550">
                  <c:v>1101.8471819725303</c:v>
                </c:pt>
                <c:pt idx="551">
                  <c:v>1090.9937147526141</c:v>
                </c:pt>
                <c:pt idx="552">
                  <c:v>1080.139489236054</c:v>
                </c:pt>
                <c:pt idx="553">
                  <c:v>1069.2846238899267</c:v>
                </c:pt>
                <c:pt idx="554">
                  <c:v>1058.4292352164734</c:v>
                </c:pt>
                <c:pt idx="555">
                  <c:v>1047.5734377799686</c:v>
                </c:pt>
                <c:pt idx="556">
                  <c:v>1036.7173442333335</c:v>
                </c:pt>
                <c:pt idx="557">
                  <c:v>1025.8610653444955</c:v>
                </c:pt>
                <c:pt idx="558">
                  <c:v>1015.0047100224884</c:v>
                </c:pt>
                <c:pt idx="559">
                  <c:v>1004.1483853432974</c:v>
                </c:pt>
                <c:pt idx="560">
                  <c:v>993.29219657544411</c:v>
                </c:pt>
                <c:pt idx="561">
                  <c:v>982.43624720531466</c:v>
                </c:pt>
                <c:pt idx="562">
                  <c:v>971.58063896222779</c:v>
                </c:pt>
                <c:pt idx="563">
                  <c:v>960.72547184324446</c:v>
                </c:pt>
                <c:pt idx="564">
                  <c:v>949.870844137718</c:v>
                </c:pt>
                <c:pt idx="565">
                  <c:v>939.01685245158467</c:v>
                </c:pt>
                <c:pt idx="566">
                  <c:v>928.16359173139597</c:v>
                </c:pt>
                <c:pt idx="567">
                  <c:v>917.31115528809096</c:v>
                </c:pt>
                <c:pt idx="568">
                  <c:v>906.45963482051093</c:v>
                </c:pt>
                <c:pt idx="569">
                  <c:v>895.60912043865505</c:v>
                </c:pt>
                <c:pt idx="570">
                  <c:v>884.75970068667903</c:v>
                </c:pt>
                <c:pt idx="571">
                  <c:v>873.91146256563616</c:v>
                </c:pt>
                <c:pt idx="572">
                  <c:v>863.06449155596192</c:v>
                </c:pt>
                <c:pt idx="573">
                  <c:v>852.21887163970325</c:v>
                </c:pt>
                <c:pt idx="574">
                  <c:v>841.37468532249261</c:v>
                </c:pt>
                <c:pt idx="575">
                  <c:v>830.53201365526809</c:v>
                </c:pt>
                <c:pt idx="576">
                  <c:v>819.69093625574067</c:v>
                </c:pt>
                <c:pt idx="577">
                  <c:v>808.85153132960943</c:v>
                </c:pt>
                <c:pt idx="578">
                  <c:v>798.01387569152598</c:v>
                </c:pt>
                <c:pt idx="579">
                  <c:v>787.17804478580922</c:v>
                </c:pt>
                <c:pt idx="580">
                  <c:v>776.34411270691146</c:v>
                </c:pt>
                <c:pt idx="581">
                  <c:v>765.51215221963764</c:v>
                </c:pt>
                <c:pt idx="582">
                  <c:v>754.68223477911852</c:v>
                </c:pt>
                <c:pt idx="583">
                  <c:v>743.85443055053975</c:v>
                </c:pt>
                <c:pt idx="584">
                  <c:v>733.02880842862749</c:v>
                </c:pt>
                <c:pt idx="585">
                  <c:v>722.20543605689295</c:v>
                </c:pt>
                <c:pt idx="586">
                  <c:v>711.38437984663665</c:v>
                </c:pt>
                <c:pt idx="587">
                  <c:v>700.56570499571444</c:v>
                </c:pt>
                <c:pt idx="588">
                  <c:v>689.74947550706679</c:v>
                </c:pt>
                <c:pt idx="589">
                  <c:v>678.93575420701268</c:v>
                </c:pt>
                <c:pt idx="590">
                  <c:v>668.12460276331035</c:v>
                </c:pt>
                <c:pt idx="591">
                  <c:v>657.31608170298568</c:v>
                </c:pt>
                <c:pt idx="592">
                  <c:v>646.51025042993138</c:v>
                </c:pt>
                <c:pt idx="593">
                  <c:v>635.70716724227748</c:v>
                </c:pt>
                <c:pt idx="594">
                  <c:v>624.90688934953516</c:v>
                </c:pt>
                <c:pt idx="595">
                  <c:v>614.10947288951638</c:v>
                </c:pt>
                <c:pt idx="596">
                  <c:v>603.31497294503072</c:v>
                </c:pt>
                <c:pt idx="597">
                  <c:v>592.52344356036087</c:v>
                </c:pt>
                <c:pt idx="598">
                  <c:v>581.73493775751945</c:v>
                </c:pt>
                <c:pt idx="599">
                  <c:v>570.94950755228865</c:v>
                </c:pt>
                <c:pt idx="600">
                  <c:v>560.16720397004474</c:v>
                </c:pt>
                <c:pt idx="601">
                  <c:v>549.38807706136913</c:v>
                </c:pt>
                <c:pt idx="602">
                  <c:v>538.61217591744821</c:v>
                </c:pt>
                <c:pt idx="603">
                  <c:v>527.83954868526394</c:v>
                </c:pt>
                <c:pt idx="604">
                  <c:v>517.07024258257695</c:v>
                </c:pt>
                <c:pt idx="605">
                  <c:v>506.30430391270414</c:v>
                </c:pt>
                <c:pt idx="606">
                  <c:v>495.54177807909315</c:v>
                </c:pt>
                <c:pt idx="607">
                  <c:v>484.78270959969524</c:v>
                </c:pt>
                <c:pt idx="608">
                  <c:v>474.02714212113875</c:v>
                </c:pt>
                <c:pt idx="609">
                  <c:v>463.27511843270531</c:v>
                </c:pt>
                <c:pt idx="610">
                  <c:v>452.52668048011054</c:v>
                </c:pt>
                <c:pt idx="611">
                  <c:v>441.7818693790914</c:v>
                </c:pt>
                <c:pt idx="612">
                  <c:v>431.04072542880226</c:v>
                </c:pt>
                <c:pt idx="613">
                  <c:v>420.3032881250216</c:v>
                </c:pt>
                <c:pt idx="614">
                  <c:v>409.56959617317142</c:v>
                </c:pt>
                <c:pt idx="615">
                  <c:v>398.83968750115127</c:v>
                </c:pt>
                <c:pt idx="616">
                  <c:v>388.11359927198913</c:v>
                </c:pt>
                <c:pt idx="617">
                  <c:v>377.39136789631095</c:v>
                </c:pt>
                <c:pt idx="618">
                  <c:v>366.67302904463099</c:v>
                </c:pt>
                <c:pt idx="619">
                  <c:v>355.95861765946472</c:v>
                </c:pt>
                <c:pt idx="620">
                  <c:v>345.24816796726668</c:v>
                </c:pt>
                <c:pt idx="621">
                  <c:v>334.54171349019509</c:v>
                </c:pt>
                <c:pt idx="622">
                  <c:v>323.83928705770495</c:v>
                </c:pt>
                <c:pt idx="623">
                  <c:v>313.14092081797213</c:v>
                </c:pt>
                <c:pt idx="624">
                  <c:v>302.44664624914998</c:v>
                </c:pt>
                <c:pt idx="625">
                  <c:v>291.75649417046054</c:v>
                </c:pt>
                <c:pt idx="626">
                  <c:v>281.0704947531226</c:v>
                </c:pt>
                <c:pt idx="627">
                  <c:v>270.38867753111805</c:v>
                </c:pt>
                <c:pt idx="628">
                  <c:v>259.71107141179886</c:v>
                </c:pt>
                <c:pt idx="629">
                  <c:v>249.03770468633653</c:v>
                </c:pt>
                <c:pt idx="630">
                  <c:v>238.36860504001572</c:v>
                </c:pt>
                <c:pt idx="631">
                  <c:v>227.70379956237426</c:v>
                </c:pt>
                <c:pt idx="632">
                  <c:v>217.04331475719127</c:v>
                </c:pt>
                <c:pt idx="633">
                  <c:v>206.38717655232529</c:v>
                </c:pt>
                <c:pt idx="634">
                  <c:v>195.73541030940436</c:v>
                </c:pt>
                <c:pt idx="635">
                  <c:v>185.08804083336983</c:v>
                </c:pt>
                <c:pt idx="636">
                  <c:v>174.44509238187575</c:v>
                </c:pt>
                <c:pt idx="637">
                  <c:v>163.80658867454582</c:v>
                </c:pt>
                <c:pt idx="638">
                  <c:v>153.17255290208945</c:v>
                </c:pt>
                <c:pt idx="639">
                  <c:v>142.54300773527902</c:v>
                </c:pt>
                <c:pt idx="640">
                  <c:v>131.91797533378997</c:v>
                </c:pt>
                <c:pt idx="641">
                  <c:v>121.29747735490554</c:v>
                </c:pt>
                <c:pt idx="642">
                  <c:v>110.68153496208794</c:v>
                </c:pt>
                <c:pt idx="643">
                  <c:v>100.07016883341764</c:v>
                </c:pt>
                <c:pt idx="644">
                  <c:v>89.463399169902644</c:v>
                </c:pt>
                <c:pt idx="645">
                  <c:v>78.861245703659364</c:v>
                </c:pt>
                <c:pt idx="646">
                  <c:v>68.263727705966787</c:v>
                </c:pt>
                <c:pt idx="647">
                  <c:v>57.670863995195738</c:v>
                </c:pt>
                <c:pt idx="648">
                  <c:v>47.082672944614842</c:v>
                </c:pt>
                <c:pt idx="649">
                  <c:v>36.49917249007482</c:v>
                </c:pt>
                <c:pt idx="650">
                  <c:v>25.920380137572835</c:v>
                </c:pt>
                <c:pt idx="651">
                  <c:v>15.346312970698486</c:v>
                </c:pt>
                <c:pt idx="652">
                  <c:v>4.7769876579630619</c:v>
                </c:pt>
                <c:pt idx="653">
                  <c:v>-5.7875795399863339</c:v>
                </c:pt>
                <c:pt idx="654">
                  <c:v>-5.798141721721362</c:v>
                </c:pt>
                <c:pt idx="655">
                  <c:v>-5.8087038986745769</c:v>
                </c:pt>
                <c:pt idx="656">
                  <c:v>-5.8192660708459636</c:v>
                </c:pt>
                <c:pt idx="657">
                  <c:v>-5.829828238235506</c:v>
                </c:pt>
                <c:pt idx="658">
                  <c:v>-5.8403904008431899</c:v>
                </c:pt>
                <c:pt idx="659">
                  <c:v>-5.8509525586689994</c:v>
                </c:pt>
                <c:pt idx="660">
                  <c:v>-5.8615147117129194</c:v>
                </c:pt>
                <c:pt idx="661">
                  <c:v>-5.8720768599749347</c:v>
                </c:pt>
                <c:pt idx="662">
                  <c:v>-5.8826390034550302</c:v>
                </c:pt>
                <c:pt idx="663">
                  <c:v>-5.89320114215319</c:v>
                </c:pt>
                <c:pt idx="664">
                  <c:v>-5.903763276069399</c:v>
                </c:pt>
                <c:pt idx="665">
                  <c:v>-5.914325405203642</c:v>
                </c:pt>
                <c:pt idx="666">
                  <c:v>-5.9248875295559031</c:v>
                </c:pt>
                <c:pt idx="667">
                  <c:v>-5.9354496491261681</c:v>
                </c:pt>
                <c:pt idx="668">
                  <c:v>-5.946011763914421</c:v>
                </c:pt>
                <c:pt idx="669">
                  <c:v>-5.9565738739206466</c:v>
                </c:pt>
                <c:pt idx="670">
                  <c:v>-5.9671359791448291</c:v>
                </c:pt>
                <c:pt idx="671">
                  <c:v>-5.9776980795869541</c:v>
                </c:pt>
                <c:pt idx="672">
                  <c:v>-5.9882601752470057</c:v>
                </c:pt>
                <c:pt idx="673">
                  <c:v>-5.9988222661249688</c:v>
                </c:pt>
                <c:pt idx="674">
                  <c:v>-6.0093843522208283</c:v>
                </c:pt>
                <c:pt idx="675">
                  <c:v>-6.0199464335345683</c:v>
                </c:pt>
                <c:pt idx="676">
                  <c:v>-6.0305085100661735</c:v>
                </c:pt>
                <c:pt idx="677">
                  <c:v>-6.0410705818156289</c:v>
                </c:pt>
                <c:pt idx="678">
                  <c:v>-6.0516326487829195</c:v>
                </c:pt>
                <c:pt idx="679">
                  <c:v>-6.0621947109680301</c:v>
                </c:pt>
                <c:pt idx="680">
                  <c:v>-6.0727567683709447</c:v>
                </c:pt>
                <c:pt idx="681">
                  <c:v>-6.0833188209916482</c:v>
                </c:pt>
                <c:pt idx="682">
                  <c:v>-6.0938808688301256</c:v>
                </c:pt>
                <c:pt idx="683">
                  <c:v>-6.1044429118863608</c:v>
                </c:pt>
                <c:pt idx="684">
                  <c:v>-6.1150049501603396</c:v>
                </c:pt>
                <c:pt idx="685">
                  <c:v>-6.1255669836520461</c:v>
                </c:pt>
                <c:pt idx="686">
                  <c:v>-6.1361290123614651</c:v>
                </c:pt>
                <c:pt idx="687">
                  <c:v>-6.1466910362885816</c:v>
                </c:pt>
                <c:pt idx="688">
                  <c:v>-6.1572530554333795</c:v>
                </c:pt>
                <c:pt idx="689">
                  <c:v>-6.1678150697958438</c:v>
                </c:pt>
                <c:pt idx="690">
                  <c:v>-6.1783770793759594</c:v>
                </c:pt>
                <c:pt idx="691">
                  <c:v>-6.1889390841737111</c:v>
                </c:pt>
                <c:pt idx="692">
                  <c:v>-6.1995010841890839</c:v>
                </c:pt>
                <c:pt idx="693">
                  <c:v>-6.2100630794220617</c:v>
                </c:pt>
                <c:pt idx="694">
                  <c:v>-6.2206250698726295</c:v>
                </c:pt>
                <c:pt idx="695">
                  <c:v>-6.2311870555407722</c:v>
                </c:pt>
                <c:pt idx="696">
                  <c:v>-6.2417490364264747</c:v>
                </c:pt>
                <c:pt idx="697">
                  <c:v>-6.252311012529721</c:v>
                </c:pt>
                <c:pt idx="698">
                  <c:v>-6.262872983850496</c:v>
                </c:pt>
                <c:pt idx="699">
                  <c:v>-6.2734349503887845</c:v>
                </c:pt>
                <c:pt idx="700">
                  <c:v>-6.2839969121445716</c:v>
                </c:pt>
                <c:pt idx="701">
                  <c:v>-6.2945588691178411</c:v>
                </c:pt>
                <c:pt idx="702">
                  <c:v>-6.305120821308579</c:v>
                </c:pt>
                <c:pt idx="703">
                  <c:v>-6.3156827687167691</c:v>
                </c:pt>
                <c:pt idx="704">
                  <c:v>-6.3262447113423965</c:v>
                </c:pt>
                <c:pt idx="705">
                  <c:v>-6.3368066491854451</c:v>
                </c:pt>
                <c:pt idx="706">
                  <c:v>-6.3473685822459007</c:v>
                </c:pt>
                <c:pt idx="707">
                  <c:v>-6.3579305105237474</c:v>
                </c:pt>
                <c:pt idx="708">
                  <c:v>-6.3684924340189699</c:v>
                </c:pt>
                <c:pt idx="709">
                  <c:v>-6.3790543527315533</c:v>
                </c:pt>
                <c:pt idx="710">
                  <c:v>-6.3896162666614815</c:v>
                </c:pt>
                <c:pt idx="711">
                  <c:v>-6.4001781758087404</c:v>
                </c:pt>
                <c:pt idx="712">
                  <c:v>-6.4107400801733139</c:v>
                </c:pt>
                <c:pt idx="713">
                  <c:v>-6.4213019797551869</c:v>
                </c:pt>
                <c:pt idx="714">
                  <c:v>-6.4318638745543435</c:v>
                </c:pt>
                <c:pt idx="715">
                  <c:v>-6.4424257645707694</c:v>
                </c:pt>
                <c:pt idx="716">
                  <c:v>-6.4529876498044487</c:v>
                </c:pt>
                <c:pt idx="717">
                  <c:v>-6.4635495302553663</c:v>
                </c:pt>
                <c:pt idx="718">
                  <c:v>-6.474111405923507</c:v>
                </c:pt>
                <c:pt idx="719">
                  <c:v>-6.4846732768088549</c:v>
                </c:pt>
                <c:pt idx="720">
                  <c:v>-6.4952351429113957</c:v>
                </c:pt>
                <c:pt idx="721">
                  <c:v>-6.5057970042311135</c:v>
                </c:pt>
                <c:pt idx="722">
                  <c:v>-6.5163588607679932</c:v>
                </c:pt>
                <c:pt idx="723">
                  <c:v>-6.5269207125220188</c:v>
                </c:pt>
                <c:pt idx="724">
                  <c:v>-6.537482559493176</c:v>
                </c:pt>
                <c:pt idx="725">
                  <c:v>-6.548044401681449</c:v>
                </c:pt>
                <c:pt idx="726">
                  <c:v>-6.5586062390868225</c:v>
                </c:pt>
                <c:pt idx="727">
                  <c:v>-6.5691680717092815</c:v>
                </c:pt>
                <c:pt idx="728">
                  <c:v>-6.5797298995488109</c:v>
                </c:pt>
                <c:pt idx="729">
                  <c:v>-6.5902917226053948</c:v>
                </c:pt>
                <c:pt idx="730">
                  <c:v>-6.6008535408790188</c:v>
                </c:pt>
                <c:pt idx="731">
                  <c:v>-6.611415354369667</c:v>
                </c:pt>
                <c:pt idx="732">
                  <c:v>-6.6219771630773243</c:v>
                </c:pt>
                <c:pt idx="733">
                  <c:v>-6.6325389670019748</c:v>
                </c:pt>
                <c:pt idx="734">
                  <c:v>-6.6431007661436041</c:v>
                </c:pt>
                <c:pt idx="735">
                  <c:v>-6.6536625605021964</c:v>
                </c:pt>
                <c:pt idx="736">
                  <c:v>-6.6642243500777365</c:v>
                </c:pt>
                <c:pt idx="737">
                  <c:v>-6.6747861348702084</c:v>
                </c:pt>
                <c:pt idx="738">
                  <c:v>-6.685347914879598</c:v>
                </c:pt>
                <c:pt idx="739">
                  <c:v>-6.6959096901058892</c:v>
                </c:pt>
                <c:pt idx="740">
                  <c:v>-6.7064714605490678</c:v>
                </c:pt>
                <c:pt idx="741">
                  <c:v>-6.7170332262091179</c:v>
                </c:pt>
                <c:pt idx="742">
                  <c:v>-6.7275949870860234</c:v>
                </c:pt>
                <c:pt idx="743">
                  <c:v>-6.7381567431797702</c:v>
                </c:pt>
                <c:pt idx="744">
                  <c:v>-6.7487184944903422</c:v>
                </c:pt>
                <c:pt idx="745">
                  <c:v>-6.7592802410177244</c:v>
                </c:pt>
                <c:pt idx="746">
                  <c:v>-6.7698419827619016</c:v>
                </c:pt>
                <c:pt idx="747">
                  <c:v>-6.7804037197228588</c:v>
                </c:pt>
                <c:pt idx="748">
                  <c:v>-6.7909654519005809</c:v>
                </c:pt>
                <c:pt idx="749">
                  <c:v>-6.8015271792950518</c:v>
                </c:pt>
                <c:pt idx="750">
                  <c:v>-6.8120889019062565</c:v>
                </c:pt>
                <c:pt idx="751">
                  <c:v>-6.8226506197341799</c:v>
                </c:pt>
                <c:pt idx="752">
                  <c:v>-6.8332123327788068</c:v>
                </c:pt>
                <c:pt idx="753">
                  <c:v>-6.8437740410401213</c:v>
                </c:pt>
                <c:pt idx="754">
                  <c:v>-6.8543357445181083</c:v>
                </c:pt>
                <c:pt idx="755">
                  <c:v>-6.8648974432127536</c:v>
                </c:pt>
                <c:pt idx="756">
                  <c:v>-6.8754591371240412</c:v>
                </c:pt>
                <c:pt idx="757">
                  <c:v>-6.8860208262519551</c:v>
                </c:pt>
                <c:pt idx="758">
                  <c:v>-6.8965825105964811</c:v>
                </c:pt>
                <c:pt idx="759">
                  <c:v>-6.9071441901576032</c:v>
                </c:pt>
                <c:pt idx="760">
                  <c:v>-6.9177058649353063</c:v>
                </c:pt>
                <c:pt idx="761">
                  <c:v>-6.9282675349295753</c:v>
                </c:pt>
                <c:pt idx="762">
                  <c:v>-6.9388292001403951</c:v>
                </c:pt>
                <c:pt idx="763">
                  <c:v>-6.9493908605677497</c:v>
                </c:pt>
                <c:pt idx="764">
                  <c:v>-6.9599525162116249</c:v>
                </c:pt>
                <c:pt idx="765">
                  <c:v>-6.9705141670720048</c:v>
                </c:pt>
                <c:pt idx="766">
                  <c:v>-6.9810758131488742</c:v>
                </c:pt>
                <c:pt idx="767">
                  <c:v>-6.991637454442218</c:v>
                </c:pt>
                <c:pt idx="768">
                  <c:v>-7.0021990909520202</c:v>
                </c:pt>
                <c:pt idx="769">
                  <c:v>-7.0127607226782667</c:v>
                </c:pt>
                <c:pt idx="770">
                  <c:v>-7.0233223496209414</c:v>
                </c:pt>
                <c:pt idx="771">
                  <c:v>-7.0338839717800292</c:v>
                </c:pt>
                <c:pt idx="772">
                  <c:v>-7.0444455891555151</c:v>
                </c:pt>
                <c:pt idx="773">
                  <c:v>-7.055007201747383</c:v>
                </c:pt>
                <c:pt idx="774">
                  <c:v>-7.0655688095556188</c:v>
                </c:pt>
                <c:pt idx="775">
                  <c:v>-7.0761304125802065</c:v>
                </c:pt>
                <c:pt idx="776">
                  <c:v>-7.0866920108211309</c:v>
                </c:pt>
                <c:pt idx="777">
                  <c:v>-7.0972536042783769</c:v>
                </c:pt>
                <c:pt idx="778">
                  <c:v>-7.1078151929519287</c:v>
                </c:pt>
                <c:pt idx="779">
                  <c:v>-7.1183767768417718</c:v>
                </c:pt>
                <c:pt idx="780">
                  <c:v>-7.1289383559478905</c:v>
                </c:pt>
                <c:pt idx="781">
                  <c:v>-7.1394999302702695</c:v>
                </c:pt>
                <c:pt idx="782">
                  <c:v>-7.1500614998088938</c:v>
                </c:pt>
                <c:pt idx="783">
                  <c:v>-7.1606230645637483</c:v>
                </c:pt>
                <c:pt idx="784">
                  <c:v>-7.171184624534817</c:v>
                </c:pt>
                <c:pt idx="785">
                  <c:v>-7.1817461797220856</c:v>
                </c:pt>
                <c:pt idx="786">
                  <c:v>-7.1923077301255383</c:v>
                </c:pt>
                <c:pt idx="787">
                  <c:v>-7.2028692757451598</c:v>
                </c:pt>
                <c:pt idx="788">
                  <c:v>-7.2134308165809342</c:v>
                </c:pt>
                <c:pt idx="789">
                  <c:v>-7.2239923526328473</c:v>
                </c:pt>
                <c:pt idx="790">
                  <c:v>-7.2345538839008832</c:v>
                </c:pt>
                <c:pt idx="791">
                  <c:v>-7.2451154103850275</c:v>
                </c:pt>
                <c:pt idx="792">
                  <c:v>-7.2556769320852643</c:v>
                </c:pt>
                <c:pt idx="793">
                  <c:v>-7.2662384490015786</c:v>
                </c:pt>
                <c:pt idx="794">
                  <c:v>-7.2767999611339542</c:v>
                </c:pt>
                <c:pt idx="795">
                  <c:v>-7.2873614684823771</c:v>
                </c:pt>
                <c:pt idx="796">
                  <c:v>-7.2979229710468312</c:v>
                </c:pt>
                <c:pt idx="797">
                  <c:v>-7.3084844688273014</c:v>
                </c:pt>
                <c:pt idx="798">
                  <c:v>-7.3190459618237727</c:v>
                </c:pt>
                <c:pt idx="799">
                  <c:v>-7.3296074500362298</c:v>
                </c:pt>
                <c:pt idx="800">
                  <c:v>-7.3401689334646569</c:v>
                </c:pt>
                <c:pt idx="801">
                  <c:v>-7.3507304121090398</c:v>
                </c:pt>
                <c:pt idx="802">
                  <c:v>-7.3612918859693623</c:v>
                </c:pt>
                <c:pt idx="803">
                  <c:v>-7.3718533550456096</c:v>
                </c:pt>
                <c:pt idx="804">
                  <c:v>-7.3824148193377663</c:v>
                </c:pt>
                <c:pt idx="805">
                  <c:v>-7.3929762788458175</c:v>
                </c:pt>
                <c:pt idx="806">
                  <c:v>-7.4035377335697472</c:v>
                </c:pt>
                <c:pt idx="807">
                  <c:v>-7.4140991835095402</c:v>
                </c:pt>
                <c:pt idx="808">
                  <c:v>-7.4246606286651824</c:v>
                </c:pt>
                <c:pt idx="809">
                  <c:v>-7.4352220690366577</c:v>
                </c:pt>
                <c:pt idx="810">
                  <c:v>-7.4457835046239502</c:v>
                </c:pt>
                <c:pt idx="811">
                  <c:v>-7.4563449354270457</c:v>
                </c:pt>
                <c:pt idx="812">
                  <c:v>-7.4669063614459281</c:v>
                </c:pt>
                <c:pt idx="813">
                  <c:v>-7.4774677826805833</c:v>
                </c:pt>
                <c:pt idx="814">
                  <c:v>-7.4880291991309953</c:v>
                </c:pt>
                <c:pt idx="815">
                  <c:v>-7.4985906107971489</c:v>
                </c:pt>
                <c:pt idx="816">
                  <c:v>-7.5091520176790283</c:v>
                </c:pt>
                <c:pt idx="817">
                  <c:v>-7.5197134197766191</c:v>
                </c:pt>
                <c:pt idx="818">
                  <c:v>-7.5302748170899054</c:v>
                </c:pt>
                <c:pt idx="819">
                  <c:v>-7.540836209618873</c:v>
                </c:pt>
                <c:pt idx="820">
                  <c:v>-7.5513975973635059</c:v>
                </c:pt>
                <c:pt idx="821">
                  <c:v>-7.561958980323789</c:v>
                </c:pt>
                <c:pt idx="822">
                  <c:v>-7.5725203584997063</c:v>
                </c:pt>
                <c:pt idx="823">
                  <c:v>-7.5830817318912436</c:v>
                </c:pt>
                <c:pt idx="824">
                  <c:v>-7.5936431004983849</c:v>
                </c:pt>
                <c:pt idx="825">
                  <c:v>-7.6042044643211151</c:v>
                </c:pt>
                <c:pt idx="826">
                  <c:v>-7.61476582335942</c:v>
                </c:pt>
                <c:pt idx="827">
                  <c:v>-7.6253271776132827</c:v>
                </c:pt>
                <c:pt idx="828">
                  <c:v>-7.6358885270826891</c:v>
                </c:pt>
                <c:pt idx="829">
                  <c:v>-7.6464498717676239</c:v>
                </c:pt>
                <c:pt idx="830">
                  <c:v>-7.6570112116680713</c:v>
                </c:pt>
                <c:pt idx="831">
                  <c:v>-7.6675725467840161</c:v>
                </c:pt>
                <c:pt idx="832">
                  <c:v>-7.6781338771154433</c:v>
                </c:pt>
                <c:pt idx="833">
                  <c:v>-7.6886952026623376</c:v>
                </c:pt>
                <c:pt idx="834">
                  <c:v>-7.6992565234246841</c:v>
                </c:pt>
                <c:pt idx="835">
                  <c:v>-7.7098178394024668</c:v>
                </c:pt>
                <c:pt idx="836">
                  <c:v>-7.7203791505956714</c:v>
                </c:pt>
                <c:pt idx="837">
                  <c:v>-7.7309404570042819</c:v>
                </c:pt>
                <c:pt idx="838">
                  <c:v>-7.7415017586282833</c:v>
                </c:pt>
                <c:pt idx="839">
                  <c:v>-7.7520630554676604</c:v>
                </c:pt>
                <c:pt idx="840">
                  <c:v>-7.7626243475223982</c:v>
                </c:pt>
                <c:pt idx="841">
                  <c:v>-7.7731856347924806</c:v>
                </c:pt>
                <c:pt idx="842">
                  <c:v>-7.7837469172778935</c:v>
                </c:pt>
                <c:pt idx="843">
                  <c:v>-7.7943081949786208</c:v>
                </c:pt>
                <c:pt idx="844">
                  <c:v>-7.8048694678946475</c:v>
                </c:pt>
                <c:pt idx="845">
                  <c:v>-7.8154307360259585</c:v>
                </c:pt>
                <c:pt idx="846">
                  <c:v>-7.8259919993725386</c:v>
                </c:pt>
                <c:pt idx="847">
                  <c:v>-7.836553257934372</c:v>
                </c:pt>
                <c:pt idx="848">
                  <c:v>-7.8471145117114443</c:v>
                </c:pt>
                <c:pt idx="849">
                  <c:v>-7.8576757607037395</c:v>
                </c:pt>
                <c:pt idx="850">
                  <c:v>-7.8682370049112427</c:v>
                </c:pt>
                <c:pt idx="851">
                  <c:v>-7.8787982443339386</c:v>
                </c:pt>
                <c:pt idx="852">
                  <c:v>-7.8893594789718122</c:v>
                </c:pt>
                <c:pt idx="853">
                  <c:v>-7.8999207088248475</c:v>
                </c:pt>
                <c:pt idx="854">
                  <c:v>-7.9104819338930303</c:v>
                </c:pt>
                <c:pt idx="855">
                  <c:v>-7.9210431541763446</c:v>
                </c:pt>
                <c:pt idx="856">
                  <c:v>-7.9316043696747753</c:v>
                </c:pt>
                <c:pt idx="857">
                  <c:v>-7.9421655803883073</c:v>
                </c:pt>
                <c:pt idx="858">
                  <c:v>-7.9527267863169255</c:v>
                </c:pt>
                <c:pt idx="859">
                  <c:v>-7.9632879874606148</c:v>
                </c:pt>
                <c:pt idx="860">
                  <c:v>-7.9738491838193593</c:v>
                </c:pt>
                <c:pt idx="861">
                  <c:v>-7.9844103753931446</c:v>
                </c:pt>
                <c:pt idx="862">
                  <c:v>-7.9949715621819548</c:v>
                </c:pt>
                <c:pt idx="863">
                  <c:v>-8.0055327441857749</c:v>
                </c:pt>
                <c:pt idx="864">
                  <c:v>-8.0160939214045897</c:v>
                </c:pt>
                <c:pt idx="865">
                  <c:v>-8.026655093838384</c:v>
                </c:pt>
                <c:pt idx="866">
                  <c:v>-8.0372162614871421</c:v>
                </c:pt>
                <c:pt idx="867">
                  <c:v>-8.0477774243508495</c:v>
                </c:pt>
                <c:pt idx="868">
                  <c:v>-8.0583385824294904</c:v>
                </c:pt>
                <c:pt idx="869">
                  <c:v>-8.0688997357230505</c:v>
                </c:pt>
                <c:pt idx="870">
                  <c:v>-8.0794608842315139</c:v>
                </c:pt>
                <c:pt idx="871">
                  <c:v>-8.0900220279548645</c:v>
                </c:pt>
                <c:pt idx="872">
                  <c:v>-8.1005831668930881</c:v>
                </c:pt>
                <c:pt idx="873">
                  <c:v>-8.1111443010461688</c:v>
                </c:pt>
                <c:pt idx="874">
                  <c:v>-8.1217054304140923</c:v>
                </c:pt>
                <c:pt idx="875">
                  <c:v>-8.1322665549968427</c:v>
                </c:pt>
                <c:pt idx="876">
                  <c:v>-8.1428276747944057</c:v>
                </c:pt>
                <c:pt idx="877">
                  <c:v>-8.1533887898067654</c:v>
                </c:pt>
                <c:pt idx="878">
                  <c:v>-8.1639499000339057</c:v>
                </c:pt>
                <c:pt idx="879">
                  <c:v>-8.1745110054758126</c:v>
                </c:pt>
                <c:pt idx="880">
                  <c:v>-8.1850721061324698</c:v>
                </c:pt>
                <c:pt idx="881">
                  <c:v>-8.1956332020038634</c:v>
                </c:pt>
                <c:pt idx="882">
                  <c:v>-8.2061942930899772</c:v>
                </c:pt>
                <c:pt idx="883">
                  <c:v>-8.216755379390797</c:v>
                </c:pt>
                <c:pt idx="884">
                  <c:v>-8.227316460906307</c:v>
                </c:pt>
                <c:pt idx="885">
                  <c:v>-8.237877537636491</c:v>
                </c:pt>
                <c:pt idx="886">
                  <c:v>-8.2484386095813349</c:v>
                </c:pt>
                <c:pt idx="887">
                  <c:v>-8.2589996767408227</c:v>
                </c:pt>
                <c:pt idx="888">
                  <c:v>-8.2695607391149402</c:v>
                </c:pt>
                <c:pt idx="889">
                  <c:v>-8.2801217967036713</c:v>
                </c:pt>
                <c:pt idx="890">
                  <c:v>-8.290682849507002</c:v>
                </c:pt>
                <c:pt idx="891">
                  <c:v>-8.3012438975249161</c:v>
                </c:pt>
                <c:pt idx="892">
                  <c:v>-8.3118049407573977</c:v>
                </c:pt>
                <c:pt idx="893">
                  <c:v>-8.3223659792044327</c:v>
                </c:pt>
                <c:pt idx="894">
                  <c:v>-8.3329270128660049</c:v>
                </c:pt>
                <c:pt idx="895">
                  <c:v>-8.3434880417421002</c:v>
                </c:pt>
                <c:pt idx="896">
                  <c:v>-8.3540490658327027</c:v>
                </c:pt>
                <c:pt idx="897">
                  <c:v>-8.3646100851377962</c:v>
                </c:pt>
                <c:pt idx="898">
                  <c:v>-8.3751710996573667</c:v>
                </c:pt>
                <c:pt idx="899">
                  <c:v>-8.3857321093913999</c:v>
                </c:pt>
                <c:pt idx="900">
                  <c:v>-8.3962931143398798</c:v>
                </c:pt>
                <c:pt idx="901">
                  <c:v>-8.4068541145027904</c:v>
                </c:pt>
                <c:pt idx="902">
                  <c:v>-8.4174151098801175</c:v>
                </c:pt>
                <c:pt idx="903">
                  <c:v>-8.4279761004718452</c:v>
                </c:pt>
                <c:pt idx="904">
                  <c:v>-8.4385370862779592</c:v>
                </c:pt>
                <c:pt idx="905">
                  <c:v>-8.4490980672984435</c:v>
                </c:pt>
                <c:pt idx="906">
                  <c:v>-8.4596590435332821</c:v>
                </c:pt>
                <c:pt idx="907">
                  <c:v>-8.4702200149824609</c:v>
                </c:pt>
                <c:pt idx="908">
                  <c:v>-8.4807809816459638</c:v>
                </c:pt>
                <c:pt idx="909">
                  <c:v>-8.4913419435237767</c:v>
                </c:pt>
                <c:pt idx="910">
                  <c:v>-8.5019029006158835</c:v>
                </c:pt>
                <c:pt idx="911">
                  <c:v>-8.51246385292227</c:v>
                </c:pt>
                <c:pt idx="912">
                  <c:v>-8.5230248004429203</c:v>
                </c:pt>
                <c:pt idx="913">
                  <c:v>-8.5335857431778184</c:v>
                </c:pt>
                <c:pt idx="914">
                  <c:v>-8.54414668112695</c:v>
                </c:pt>
                <c:pt idx="915">
                  <c:v>-8.5547076142903009</c:v>
                </c:pt>
                <c:pt idx="916">
                  <c:v>-8.5652685426678534</c:v>
                </c:pt>
                <c:pt idx="917">
                  <c:v>-8.5758294662595951</c:v>
                </c:pt>
                <c:pt idx="918">
                  <c:v>-8.5863903850655081</c:v>
                </c:pt>
                <c:pt idx="919">
                  <c:v>-8.5969512990855783</c:v>
                </c:pt>
                <c:pt idx="920">
                  <c:v>-8.6075122083197915</c:v>
                </c:pt>
                <c:pt idx="921">
                  <c:v>-8.6180731127681316</c:v>
                </c:pt>
                <c:pt idx="922">
                  <c:v>-8.6286340124305827</c:v>
                </c:pt>
                <c:pt idx="923">
                  <c:v>-8.6391949073071306</c:v>
                </c:pt>
                <c:pt idx="924">
                  <c:v>-8.6497557973977592</c:v>
                </c:pt>
                <c:pt idx="925">
                  <c:v>-8.6603166827024545</c:v>
                </c:pt>
                <c:pt idx="926">
                  <c:v>-8.6708775632212003</c:v>
                </c:pt>
                <c:pt idx="927">
                  <c:v>-8.6814384389539825</c:v>
                </c:pt>
                <c:pt idx="928">
                  <c:v>-8.6919993099007851</c:v>
                </c:pt>
                <c:pt idx="929">
                  <c:v>-8.702560176061592</c:v>
                </c:pt>
                <c:pt idx="930">
                  <c:v>-8.7131210374363892</c:v>
                </c:pt>
                <c:pt idx="931">
                  <c:v>-8.7236818940251624</c:v>
                </c:pt>
                <c:pt idx="932">
                  <c:v>-8.7342427458278937</c:v>
                </c:pt>
                <c:pt idx="933">
                  <c:v>-8.7448035928445709</c:v>
                </c:pt>
                <c:pt idx="934">
                  <c:v>-8.755364435075176</c:v>
                </c:pt>
                <c:pt idx="935">
                  <c:v>-8.765925272519695</c:v>
                </c:pt>
                <c:pt idx="936">
                  <c:v>-8.7764861051781136</c:v>
                </c:pt>
                <c:pt idx="937">
                  <c:v>-8.7870469330504157</c:v>
                </c:pt>
                <c:pt idx="938">
                  <c:v>-8.7976077561365855</c:v>
                </c:pt>
                <c:pt idx="939">
                  <c:v>-8.8081685744366087</c:v>
                </c:pt>
                <c:pt idx="940">
                  <c:v>-8.8187293879504693</c:v>
                </c:pt>
                <c:pt idx="941">
                  <c:v>-8.8292901966781532</c:v>
                </c:pt>
                <c:pt idx="942">
                  <c:v>-8.8398510006196442</c:v>
                </c:pt>
                <c:pt idx="943">
                  <c:v>-8.8504117997749283</c:v>
                </c:pt>
                <c:pt idx="944">
                  <c:v>-8.8609725941439894</c:v>
                </c:pt>
                <c:pt idx="945">
                  <c:v>-8.8715333837268116</c:v>
                </c:pt>
                <c:pt idx="946">
                  <c:v>-8.8820941685233805</c:v>
                </c:pt>
                <c:pt idx="947">
                  <c:v>-8.8926549485336821</c:v>
                </c:pt>
                <c:pt idx="948">
                  <c:v>-8.9032157237577003</c:v>
                </c:pt>
                <c:pt idx="949">
                  <c:v>-8.9137764941954192</c:v>
                </c:pt>
                <c:pt idx="950">
                  <c:v>-8.9243372598468227</c:v>
                </c:pt>
                <c:pt idx="951">
                  <c:v>-8.9348980207118984</c:v>
                </c:pt>
                <c:pt idx="952">
                  <c:v>-8.9454587767906286</c:v>
                </c:pt>
                <c:pt idx="953">
                  <c:v>-8.9560195280829991</c:v>
                </c:pt>
                <c:pt idx="954">
                  <c:v>-8.9665802745889955</c:v>
                </c:pt>
                <c:pt idx="955">
                  <c:v>-8.9771410163086021</c:v>
                </c:pt>
                <c:pt idx="956">
                  <c:v>-8.9877017532418026</c:v>
                </c:pt>
                <c:pt idx="957">
                  <c:v>-8.9982624853885831</c:v>
                </c:pt>
                <c:pt idx="958">
                  <c:v>-9.0088232127489274</c:v>
                </c:pt>
                <c:pt idx="959">
                  <c:v>-9.0193839353228213</c:v>
                </c:pt>
                <c:pt idx="960">
                  <c:v>-9.029944653110249</c:v>
                </c:pt>
                <c:pt idx="961">
                  <c:v>-9.0405053661111943</c:v>
                </c:pt>
                <c:pt idx="962">
                  <c:v>-9.051066074325643</c:v>
                </c:pt>
                <c:pt idx="963">
                  <c:v>-9.0616267777535811</c:v>
                </c:pt>
                <c:pt idx="964">
                  <c:v>-9.0721874763949923</c:v>
                </c:pt>
                <c:pt idx="965">
                  <c:v>-9.0827481702498609</c:v>
                </c:pt>
                <c:pt idx="966">
                  <c:v>-9.0933088593181726</c:v>
                </c:pt>
                <c:pt idx="967">
                  <c:v>-9.1038695435999113</c:v>
                </c:pt>
                <c:pt idx="968">
                  <c:v>-9.1144302230950629</c:v>
                </c:pt>
                <c:pt idx="969">
                  <c:v>-9.1249908978036114</c:v>
                </c:pt>
                <c:pt idx="970">
                  <c:v>-9.1355515677255426</c:v>
                </c:pt>
                <c:pt idx="971">
                  <c:v>-9.1461122328608404</c:v>
                </c:pt>
                <c:pt idx="972">
                  <c:v>-9.156672893209489</c:v>
                </c:pt>
                <c:pt idx="973">
                  <c:v>-9.167233548771474</c:v>
                </c:pt>
                <c:pt idx="974">
                  <c:v>-9.1777941995467813</c:v>
                </c:pt>
                <c:pt idx="975">
                  <c:v>-9.1883548455353932</c:v>
                </c:pt>
                <c:pt idx="976">
                  <c:v>-9.1989154867372971</c:v>
                </c:pt>
                <c:pt idx="977">
                  <c:v>-9.2094761231524753</c:v>
                </c:pt>
                <c:pt idx="978">
                  <c:v>-9.2200367547809137</c:v>
                </c:pt>
                <c:pt idx="979">
                  <c:v>-9.2305973816225979</c:v>
                </c:pt>
                <c:pt idx="980">
                  <c:v>-9.2411580036775121</c:v>
                </c:pt>
                <c:pt idx="981">
                  <c:v>-9.2517186209456419</c:v>
                </c:pt>
                <c:pt idx="982">
                  <c:v>-9.2622792334269715</c:v>
                </c:pt>
                <c:pt idx="983">
                  <c:v>-9.2728398411214847</c:v>
                </c:pt>
                <c:pt idx="984">
                  <c:v>-9.2834004440291675</c:v>
                </c:pt>
                <c:pt idx="985">
                  <c:v>-9.2939610421500038</c:v>
                </c:pt>
                <c:pt idx="986">
                  <c:v>-9.3045216354839795</c:v>
                </c:pt>
                <c:pt idx="987">
                  <c:v>-9.3150822240310784</c:v>
                </c:pt>
                <c:pt idx="988">
                  <c:v>-9.3256428077912865</c:v>
                </c:pt>
                <c:pt idx="989">
                  <c:v>-9.3362033867645877</c:v>
                </c:pt>
                <c:pt idx="990">
                  <c:v>-9.3467639609509678</c:v>
                </c:pt>
                <c:pt idx="991">
                  <c:v>-9.3573245303504109</c:v>
                </c:pt>
                <c:pt idx="992">
                  <c:v>-9.3678850949629009</c:v>
                </c:pt>
                <c:pt idx="993">
                  <c:v>-9.3784456547884236</c:v>
                </c:pt>
                <c:pt idx="994">
                  <c:v>-9.3890062098269631</c:v>
                </c:pt>
                <c:pt idx="995">
                  <c:v>-9.3995667600785051</c:v>
                </c:pt>
                <c:pt idx="996">
                  <c:v>-9.4101273055430337</c:v>
                </c:pt>
                <c:pt idx="997">
                  <c:v>-9.4206878462205346</c:v>
                </c:pt>
                <c:pt idx="998">
                  <c:v>-9.4312483821109918</c:v>
                </c:pt>
                <c:pt idx="999">
                  <c:v>-9.4418089132143912</c:v>
                </c:pt>
                <c:pt idx="1000">
                  <c:v>-9.4523694395307167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1-4567-B7A1-067915120221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2970.9971417443212</c:v>
                </c:pt>
                <c:pt idx="304">
                  <c:v>2971.3953145678793</c:v>
                </c:pt>
                <c:pt idx="305">
                  <c:v>2971.6949141362215</c:v>
                </c:pt>
                <c:pt idx="306">
                  <c:v>2971.8960620863168</c:v>
                </c:pt>
                <c:pt idx="307">
                  <c:v>2971.9988762080079</c:v>
                </c:pt>
                <c:pt idx="308">
                  <c:v>2972.0034715528336</c:v>
                </c:pt>
                <c:pt idx="309">
                  <c:v>2971.9099615737468</c:v>
                </c:pt>
                <c:pt idx="310">
                  <c:v>2971.7184592785279</c:v>
                </c:pt>
                <c:pt idx="311">
                  <c:v>2971.4290783782367</c:v>
                </c:pt>
                <c:pt idx="312">
                  <c:v>2971.0419344118513</c:v>
                </c:pt>
                <c:pt idx="313">
                  <c:v>2970.5571458293653</c:v>
                </c:pt>
                <c:pt idx="314">
                  <c:v>2969.9748350178547</c:v>
                </c:pt>
                <c:pt idx="315">
                  <c:v>2969.2951292581247</c:v>
                </c:pt>
                <c:pt idx="316">
                  <c:v>2968.5181616030791</c:v>
                </c:pt>
                <c:pt idx="317">
                  <c:v>2967.6440716725583</c:v>
                </c:pt>
                <c:pt idx="318">
                  <c:v>2966.6730063627283</c:v>
                </c:pt>
                <c:pt idx="319">
                  <c:v>2965.6051204709306</c:v>
                </c:pt>
                <c:pt idx="320">
                  <c:v>2964.4405772391428</c:v>
                </c:pt>
                <c:pt idx="321">
                  <c:v>2963.1795488207717</c:v>
                </c:pt>
                <c:pt idx="322">
                  <c:v>2961.8222166765058</c:v>
                </c:pt>
                <c:pt idx="323">
                  <c:v>2960.3687719054647</c:v>
                </c:pt>
                <c:pt idx="324">
                  <c:v>2958.8194155179826</c:v>
                </c:pt>
                <c:pt idx="325">
                  <c:v>2957.1743586562143</c:v>
                </c:pt>
                <c:pt idx="326">
                  <c:v>2955.4338227683847</c:v>
                </c:pt>
                <c:pt idx="327">
                  <c:v>2953.5980397420494</c:v>
                </c:pt>
                <c:pt idx="328">
                  <c:v>2951.667252001208</c:v>
                </c:pt>
                <c:pt idx="329">
                  <c:v>2949.6417125715961</c:v>
                </c:pt>
                <c:pt idx="330">
                  <c:v>2947.5216851179648</c:v>
                </c:pt>
                <c:pt idx="331">
                  <c:v>2945.3074439566803</c:v>
                </c:pt>
                <c:pt idx="332">
                  <c:v>2942.9992740465523</c:v>
                </c:pt>
                <c:pt idx="333">
                  <c:v>2940.5974709604016</c:v>
                </c:pt>
                <c:pt idx="334">
                  <c:v>2938.1023408395531</c:v>
                </c:pt>
                <c:pt idx="335">
                  <c:v>2935.5142003331289</c:v>
                </c:pt>
                <c:pt idx="336">
                  <c:v>2932.8333765237721</c:v>
                </c:pt>
                <c:pt idx="337">
                  <c:v>2930.060206841214</c:v>
                </c:pt>
                <c:pt idx="338">
                  <c:v>2927.1950389648991</c:v>
                </c:pt>
                <c:pt idx="339">
                  <c:v>2924.2382307167386</c:v>
                </c:pt>
                <c:pt idx="340">
                  <c:v>2921.1901499449173</c:v>
                </c:pt>
                <c:pt idx="341">
                  <c:v>2918.0511743995671</c:v>
                </c:pt>
                <c:pt idx="342">
                  <c:v>2914.8216916010301</c:v>
                </c:pt>
                <c:pt idx="343">
                  <c:v>2911.5020987013381</c:v>
                </c:pt>
                <c:pt idx="344">
                  <c:v>2908.0928023394836</c:v>
                </c:pt>
                <c:pt idx="345">
                  <c:v>2904.5942184909845</c:v>
                </c:pt>
                <c:pt idx="346">
                  <c:v>2901.006772312202</c:v>
                </c:pt>
                <c:pt idx="347">
                  <c:v>2897.3308979798253</c:v>
                </c:pt>
                <c:pt idx="348">
                  <c:v>2893.5670385259045</c:v>
                </c:pt>
                <c:pt idx="349">
                  <c:v>2889.7156456687803</c:v>
                </c:pt>
                <c:pt idx="350">
                  <c:v>2885.7771796402303</c:v>
                </c:pt>
                <c:pt idx="351">
                  <c:v>2881.7521090091359</c:v>
                </c:pt>
                <c:pt idx="352">
                  <c:v>2877.6409105019447</c:v>
                </c:pt>
                <c:pt idx="353">
                  <c:v>2873.444068820198</c:v>
                </c:pt>
                <c:pt idx="354">
                  <c:v>2869.1620764553677</c:v>
                </c:pt>
                <c:pt idx="355">
                  <c:v>2864.7954335012432</c:v>
                </c:pt>
                <c:pt idx="356">
                  <c:v>2860.3446474640909</c:v>
                </c:pt>
                <c:pt idx="357">
                  <c:v>2855.8102330708007</c:v>
                </c:pt>
                <c:pt idx="358">
                  <c:v>2851.1927120752316</c:v>
                </c:pt>
                <c:pt idx="359">
                  <c:v>2846.4926130629501</c:v>
                </c:pt>
                <c:pt idx="360">
                  <c:v>2841.7104712545547</c:v>
                </c:pt>
                <c:pt idx="361">
                  <c:v>2836.8468283077732</c:v>
                </c:pt>
                <c:pt idx="362">
                  <c:v>2831.9022321185121</c:v>
                </c:pt>
                <c:pt idx="363">
                  <c:v>2826.8772366210314</c:v>
                </c:pt>
                <c:pt idx="364">
                  <c:v>2821.7724015874146</c:v>
                </c:pt>
                <c:pt idx="365">
                  <c:v>2816.5882924264952</c:v>
                </c:pt>
                <c:pt idx="366">
                  <c:v>2811.3254799824058</c:v>
                </c:pt>
                <c:pt idx="367">
                  <c:v>2805.9845403328986</c:v>
                </c:pt>
                <c:pt idx="368">
                  <c:v>2800.5660545875908</c:v>
                </c:pt>
                <c:pt idx="369">
                  <c:v>2795.0706086862824</c:v>
                </c:pt>
                <c:pt idx="370">
                  <c:v>2789.4987931974902</c:v>
                </c:pt>
                <c:pt idx="371">
                  <c:v>2783.8512031173332</c:v>
                </c:pt>
                <c:pt idx="372">
                  <c:v>2778.1284376689096</c:v>
                </c:pt>
                <c:pt idx="373">
                  <c:v>2772.3311001022935</c:v>
                </c:pt>
                <c:pt idx="374">
                  <c:v>2766.4597974952812</c:v>
                </c:pt>
                <c:pt idx="375">
                  <c:v>2760.5151405550087</c:v>
                </c:pt>
                <c:pt idx="376">
                  <c:v>2754.4977434205643</c:v>
                </c:pt>
                <c:pt idx="377">
                  <c:v>2748.4082234667085</c:v>
                </c:pt>
                <c:pt idx="378">
                  <c:v>2742.2472011088189</c:v>
                </c:pt>
                <c:pt idx="379">
                  <c:v>2736.0152996091647</c:v>
                </c:pt>
                <c:pt idx="380">
                  <c:v>2729.7131448846221</c:v>
                </c:pt>
                <c:pt idx="381">
                  <c:v>2723.3413653159255</c:v>
                </c:pt>
                <c:pt idx="382">
                  <c:v>2716.9005915585594</c:v>
                </c:pt>
                <c:pt idx="383">
                  <c:v>2710.3914563553831</c:v>
                </c:pt>
                <c:pt idx="384">
                  <c:v>2703.8145943510767</c:v>
                </c:pt>
                <c:pt idx="385">
                  <c:v>2697.1706419085017</c:v>
                </c:pt>
                <c:pt idx="386">
                  <c:v>2690.4602369270528</c:v>
                </c:pt>
                <c:pt idx="387">
                  <c:v>2683.6840186630884</c:v>
                </c:pt>
                <c:pt idx="388">
                  <c:v>2676.8426275525094</c:v>
                </c:pt>
                <c:pt idx="389">
                  <c:v>2669.936705035565</c:v>
                </c:pt>
                <c:pt idx="390">
                  <c:v>2662.9668933839516</c:v>
                </c:pt>
                <c:pt idx="391">
                  <c:v>2655.9338355302707</c:v>
                </c:pt>
                <c:pt idx="392">
                  <c:v>2648.83817489991</c:v>
                </c:pt>
                <c:pt idx="393">
                  <c:v>2641.6805552454057</c:v>
                </c:pt>
                <c:pt idx="394">
                  <c:v>2634.4616204833383</c:v>
                </c:pt>
                <c:pt idx="395">
                  <c:v>2627.1820145338206</c:v>
                </c:pt>
                <c:pt idx="396">
                  <c:v>2619.8423811626185</c:v>
                </c:pt>
                <c:pt idx="397">
                  <c:v>2612.4433638259557</c:v>
                </c:pt>
                <c:pt idx="398">
                  <c:v>2604.9856055180412</c:v>
                </c:pt>
                <c:pt idx="399">
                  <c:v>2597.4697486213586</c:v>
                </c:pt>
                <c:pt idx="400">
                  <c:v>2589.8964347597544</c:v>
                </c:pt>
                <c:pt idx="401">
                  <c:v>2582.266304654353</c:v>
                </c:pt>
                <c:pt idx="402">
                  <c:v>2574.5799979823332</c:v>
                </c:pt>
                <c:pt idx="403">
                  <c:v>2566.8381532385865</c:v>
                </c:pt>
                <c:pt idx="404">
                  <c:v>2559.0414076002853</c:v>
                </c:pt>
                <c:pt idx="405">
                  <c:v>2551.1903967943772</c:v>
                </c:pt>
                <c:pt idx="406">
                  <c:v>2543.285754968023</c:v>
                </c:pt>
                <c:pt idx="407">
                  <c:v>2535.3281145619962</c:v>
                </c:pt>
                <c:pt idx="408">
                  <c:v>2527.31810618705</c:v>
                </c:pt>
                <c:pt idx="409">
                  <c:v>2519.2563585032653</c:v>
                </c:pt>
                <c:pt idx="410">
                  <c:v>2511.1434981023826</c:v>
                </c:pt>
                <c:pt idx="411">
                  <c:v>2502.9801493931245</c:v>
                </c:pt>
                <c:pt idx="412">
                  <c:v>2494.7669344895066</c:v>
                </c:pt>
                <c:pt idx="413">
                  <c:v>2486.5044731021389</c:v>
                </c:pt>
                <c:pt idx="414">
                  <c:v>2478.1933824325101</c:v>
                </c:pt>
                <c:pt idx="415">
                  <c:v>2469.8342770702548</c:v>
                </c:pt>
                <c:pt idx="416">
                  <c:v>2461.4277688933871</c:v>
                </c:pt>
                <c:pt idx="417">
                  <c:v>2452.9744669714996</c:v>
                </c:pt>
                <c:pt idx="418">
                  <c:v>2444.4749774719089</c:v>
                </c:pt>
                <c:pt idx="419">
                  <c:v>2435.9299035687359</c:v>
                </c:pt>
                <c:pt idx="420">
                  <c:v>2427.339845354903</c:v>
                </c:pt>
                <c:pt idx="421">
                  <c:v>2418.7053997570342</c:v>
                </c:pt>
                <c:pt idx="422">
                  <c:v>2410.027160453234</c:v>
                </c:pt>
                <c:pt idx="423">
                  <c:v>2401.3057177937258</c:v>
                </c:pt>
                <c:pt idx="424">
                  <c:v>2392.5416587243244</c:v>
                </c:pt>
                <c:pt idx="425">
                  <c:v>2383.735566712724</c:v>
                </c:pt>
                <c:pt idx="426">
                  <c:v>2374.8880216775669</c:v>
                </c:pt>
                <c:pt idx="427">
                  <c:v>2365.9995999202733</c:v>
                </c:pt>
                <c:pt idx="428">
                  <c:v>2357.0708740595987</c:v>
                </c:pt>
                <c:pt idx="429">
                  <c:v>2348.1024129688894</c:v>
                </c:pt>
                <c:pt idx="430">
                  <c:v>2339.0947817160086</c:v>
                </c:pt>
                <c:pt idx="431">
                  <c:v>2330.0485415058952</c:v>
                </c:pt>
                <c:pt idx="432">
                  <c:v>2320.9642496257256</c:v>
                </c:pt>
                <c:pt idx="433">
                  <c:v>2311.8424593926438</c:v>
                </c:pt>
                <c:pt idx="434">
                  <c:v>2302.6837201040221</c:v>
                </c:pt>
                <c:pt idx="435">
                  <c:v>2293.4885769902194</c:v>
                </c:pt>
                <c:pt idx="436">
                  <c:v>2284.2575711697991</c:v>
                </c:pt>
                <c:pt idx="437">
                  <c:v>2274.9912396071663</c:v>
                </c:pt>
                <c:pt idx="438">
                  <c:v>2265.6901150725907</c:v>
                </c:pt>
                <c:pt idx="439">
                  <c:v>2256.3547261045719</c:v>
                </c:pt>
                <c:pt idx="440">
                  <c:v>2246.9855969745108</c:v>
                </c:pt>
                <c:pt idx="441">
                  <c:v>2237.5832476536439</c:v>
                </c:pt>
                <c:pt idx="442">
                  <c:v>2228.1481937822023</c:v>
                </c:pt>
                <c:pt idx="443">
                  <c:v>2218.6809466407562</c:v>
                </c:pt>
                <c:pt idx="444">
                  <c:v>2209.1820131236977</c:v>
                </c:pt>
                <c:pt idx="445">
                  <c:v>2199.6518957148264</c:v>
                </c:pt>
                <c:pt idx="446">
                  <c:v>2190.0910924649934</c:v>
                </c:pt>
                <c:pt idx="447">
                  <c:v>2180.5000969717616</c:v>
                </c:pt>
                <c:pt idx="448">
                  <c:v>2170.8793983610421</c:v>
                </c:pt>
                <c:pt idx="449">
                  <c:v>2161.2294812706609</c:v>
                </c:pt>
                <c:pt idx="450">
                  <c:v>2151.5508258358168</c:v>
                </c:pt>
                <c:pt idx="451">
                  <c:v>2141.8439076763875</c:v>
                </c:pt>
                <c:pt idx="452">
                  <c:v>2132.1091978860409</c:v>
                </c:pt>
                <c:pt idx="453">
                  <c:v>2122.3471630231102</c:v>
                </c:pt>
                <c:pt idx="454">
                  <c:v>2112.5582651031882</c:v>
                </c:pt>
                <c:pt idx="455">
                  <c:v>2102.7429615934029</c:v>
                </c:pt>
                <c:pt idx="456">
                  <c:v>2092.9017054083292</c:v>
                </c:pt>
                <c:pt idx="457">
                  <c:v>2083.0349449074961</c:v>
                </c:pt>
                <c:pt idx="458">
                  <c:v>2073.1431238944479</c:v>
                </c:pt>
                <c:pt idx="459">
                  <c:v>2063.2266816173169</c:v>
                </c:pt>
                <c:pt idx="460">
                  <c:v>2053.2860527708708</c:v>
                </c:pt>
                <c:pt idx="461">
                  <c:v>2043.3216674999878</c:v>
                </c:pt>
                <c:pt idx="462">
                  <c:v>2033.333951404524</c:v>
                </c:pt>
                <c:pt idx="463">
                  <c:v>2023.3233255455307</c:v>
                </c:pt>
                <c:pt idx="464">
                  <c:v>2013.2902064527837</c:v>
                </c:pt>
                <c:pt idx="465">
                  <c:v>2003.2350061335831</c:v>
                </c:pt>
                <c:pt idx="466">
                  <c:v>1993.1581320827861</c:v>
                </c:pt>
                <c:pt idx="467">
                  <c:v>1983.0599872940354</c:v>
                </c:pt>
                <c:pt idx="468">
                  <c:v>1972.9409702721423</c:v>
                </c:pt>
                <c:pt idx="469">
                  <c:v>1962.8014750465898</c:v>
                </c:pt>
                <c:pt idx="470">
                  <c:v>1952.6418911861169</c:v>
                </c:pt>
                <c:pt idx="471">
                  <c:v>1942.4626038143494</c:v>
                </c:pt>
                <c:pt idx="472">
                  <c:v>1932.2639936264379</c:v>
                </c:pt>
                <c:pt idx="473">
                  <c:v>1922.0464369066713</c:v>
                </c:pt>
                <c:pt idx="474">
                  <c:v>1911.8103055470281</c:v>
                </c:pt>
                <c:pt idx="475">
                  <c:v>1901.5559670666319</c:v>
                </c:pt>
                <c:pt idx="476">
                  <c:v>1891.2837846320772</c:v>
                </c:pt>
                <c:pt idx="477">
                  <c:v>1880.9941170785924</c:v>
                </c:pt>
                <c:pt idx="478">
                  <c:v>1870.6873189320063</c:v>
                </c:pt>
                <c:pt idx="479">
                  <c:v>1860.3637404314861</c:v>
                </c:pt>
                <c:pt idx="480">
                  <c:v>1850.0237275530167</c:v>
                </c:pt>
                <c:pt idx="481">
                  <c:v>1839.6676220335864</c:v>
                </c:pt>
                <c:pt idx="482">
                  <c:v>1829.2957613960546</c:v>
                </c:pt>
                <c:pt idx="483">
                  <c:v>1818.9084789746635</c:v>
                </c:pt>
                <c:pt idx="484">
                  <c:v>1808.5061039411728</c:v>
                </c:pt>
                <c:pt idx="485">
                  <c:v>1798.0889613315821</c:v>
                </c:pt>
                <c:pt idx="486">
                  <c:v>1787.6573720734157</c:v>
                </c:pt>
                <c:pt idx="487">
                  <c:v>1777.2116530135418</c:v>
                </c:pt>
                <c:pt idx="488">
                  <c:v>1766.7521169464999</c:v>
                </c:pt>
                <c:pt idx="489">
                  <c:v>1756.2790726433072</c:v>
                </c:pt>
                <c:pt idx="490">
                  <c:v>1745.7928248807218</c:v>
                </c:pt>
                <c:pt idx="491">
                  <c:v>1735.2936744709336</c:v>
                </c:pt>
                <c:pt idx="492">
                  <c:v>1724.7819182916617</c:v>
                </c:pt>
                <c:pt idx="493">
                  <c:v>1714.2578493166316</c:v>
                </c:pt>
                <c:pt idx="494">
                  <c:v>1703.7217566464099</c:v>
                </c:pt>
                <c:pt idx="495">
                  <c:v>1693.1739255395732</c:v>
                </c:pt>
                <c:pt idx="496">
                  <c:v>1682.6146374441892</c:v>
                </c:pt>
                <c:pt idx="497">
                  <c:v>1672.0441700295855</c:v>
                </c:pt>
                <c:pt idx="498">
                  <c:v>1661.4627972183907</c:v>
                </c:pt>
                <c:pt idx="499">
                  <c:v>1650.8707892188197</c:v>
                </c:pt>
                <c:pt idx="500">
                  <c:v>1640.2684125571884</c:v>
                </c:pt>
                <c:pt idx="501">
                  <c:v>1629.6559301106361</c:v>
                </c:pt>
                <c:pt idx="502">
                  <c:v>1619.0336011400361</c:v>
                </c:pt>
                <c:pt idx="503">
                  <c:v>1608.4016813230771</c:v>
                </c:pt>
                <c:pt idx="504">
                  <c:v>1597.7604227874958</c:v>
                </c:pt>
                <c:pt idx="505">
                  <c:v>1587.110074144445</c:v>
                </c:pt>
                <c:pt idx="506">
                  <c:v>1576.450880521978</c:v>
                </c:pt>
                <c:pt idx="507">
                  <c:v>1565.7830835986347</c:v>
                </c:pt>
                <c:pt idx="508">
                  <c:v>1555.106921637112</c:v>
                </c:pt>
                <c:pt idx="509">
                  <c:v>1544.4226295180031</c:v>
                </c:pt>
                <c:pt idx="510">
                  <c:v>1533.7304387735917</c:v>
                </c:pt>
                <c:pt idx="511">
                  <c:v>1523.0305776216844</c:v>
                </c:pt>
                <c:pt idx="512">
                  <c:v>1512.3232709994697</c:v>
                </c:pt>
                <c:pt idx="513">
                  <c:v>1501.6087405973876</c:v>
                </c:pt>
                <c:pt idx="514">
                  <c:v>1490.8872048929979</c:v>
                </c:pt>
                <c:pt idx="515">
                  <c:v>1480.1588791848339</c:v>
                </c:pt>
                <c:pt idx="516">
                  <c:v>1469.4239756262286</c:v>
                </c:pt>
                <c:pt idx="517">
                  <c:v>1458.6827032591034</c:v>
                </c:pt>
                <c:pt idx="518">
                  <c:v>1447.9352680477048</c:v>
                </c:pt>
                <c:pt idx="519">
                  <c:v>1437.1818729122808</c:v>
                </c:pt>
                <c:pt idx="520">
                  <c:v>1426.4227177626844</c:v>
                </c:pt>
                <c:pt idx="521">
                  <c:v>1415.6579995318946</c:v>
                </c:pt>
                <c:pt idx="522">
                  <c:v>1404.8879122094447</c:v>
                </c:pt>
                <c:pt idx="523">
                  <c:v>1394.1126468747489</c:v>
                </c:pt>
                <c:pt idx="524">
                  <c:v>1383.3323917303173</c:v>
                </c:pt>
                <c:pt idx="525">
                  <c:v>1372.5473321348506</c:v>
                </c:pt>
                <c:pt idx="526">
                  <c:v>1361.7576506362068</c:v>
                </c:pt>
                <c:pt idx="527">
                  <c:v>1350.9635270042299</c:v>
                </c:pt>
                <c:pt idx="528">
                  <c:v>1340.1651382634357</c:v>
                </c:pt>
                <c:pt idx="529">
                  <c:v>1329.3626587255433</c:v>
                </c:pt>
                <c:pt idx="530">
                  <c:v>1318.5562600218504</c:v>
                </c:pt>
                <c:pt idx="531">
                  <c:v>1307.7461111354398</c:v>
                </c:pt>
                <c:pt idx="532">
                  <c:v>1296.9323784332148</c:v>
                </c:pt>
                <c:pt idx="533">
                  <c:v>1286.1152256977555</c:v>
                </c:pt>
                <c:pt idx="534">
                  <c:v>1275.2948141589904</c:v>
                </c:pt>
                <c:pt idx="535">
                  <c:v>1264.4713025256781</c:v>
                </c:pt>
                <c:pt idx="536">
                  <c:v>1253.6448470166922</c:v>
                </c:pt>
                <c:pt idx="537">
                  <c:v>1242.8156013921071</c:v>
                </c:pt>
                <c:pt idx="538">
                  <c:v>1231.9837169840762</c:v>
                </c:pt>
                <c:pt idx="539">
                  <c:v>1221.149342727502</c:v>
                </c:pt>
                <c:pt idx="540">
                  <c:v>1210.3126251904898</c:v>
                </c:pt>
                <c:pt idx="541">
                  <c:v>1199.4737086045841</c:v>
                </c:pt>
                <c:pt idx="542">
                  <c:v>1188.6327348947823</c:v>
                </c:pt>
                <c:pt idx="543">
                  <c:v>1177.789843709322</c:v>
                </c:pt>
                <c:pt idx="544">
                  <c:v>1166.9451724492392</c:v>
                </c:pt>
                <c:pt idx="545">
                  <c:v>1156.0988562976936</c:v>
                </c:pt>
                <c:pt idx="546">
                  <c:v>1145.2510282490591</c:v>
                </c:pt>
                <c:pt idx="547">
                  <c:v>1134.4018191377752</c:v>
                </c:pt>
                <c:pt idx="548">
                  <c:v>1123.551357666958</c:v>
                </c:pt>
                <c:pt idx="549">
                  <c:v>1112.6997704367675</c:v>
                </c:pt>
                <c:pt idx="550">
                  <c:v>1101.8471819725303</c:v>
                </c:pt>
                <c:pt idx="551">
                  <c:v>1090.9937147526141</c:v>
                </c:pt>
                <c:pt idx="552">
                  <c:v>1080.139489236054</c:v>
                </c:pt>
                <c:pt idx="553">
                  <c:v>1069.2846238899267</c:v>
                </c:pt>
                <c:pt idx="554">
                  <c:v>1058.4292352164734</c:v>
                </c:pt>
                <c:pt idx="555">
                  <c:v>1047.5734377799686</c:v>
                </c:pt>
                <c:pt idx="556">
                  <c:v>1036.7173442333335</c:v>
                </c:pt>
                <c:pt idx="557">
                  <c:v>1025.8610653444955</c:v>
                </c:pt>
                <c:pt idx="558">
                  <c:v>1015.0047100224884</c:v>
                </c:pt>
                <c:pt idx="559">
                  <c:v>1004.1483853432974</c:v>
                </c:pt>
                <c:pt idx="560">
                  <c:v>993.29219657544411</c:v>
                </c:pt>
                <c:pt idx="561">
                  <c:v>982.43624720531466</c:v>
                </c:pt>
                <c:pt idx="562">
                  <c:v>971.58063896222779</c:v>
                </c:pt>
                <c:pt idx="563">
                  <c:v>960.72547184324446</c:v>
                </c:pt>
                <c:pt idx="564">
                  <c:v>949.870844137718</c:v>
                </c:pt>
                <c:pt idx="565">
                  <c:v>939.01685245158467</c:v>
                </c:pt>
                <c:pt idx="566">
                  <c:v>928.16359173139597</c:v>
                </c:pt>
                <c:pt idx="567">
                  <c:v>917.31115528809096</c:v>
                </c:pt>
                <c:pt idx="568">
                  <c:v>906.45963482051093</c:v>
                </c:pt>
                <c:pt idx="569">
                  <c:v>895.60912043865505</c:v>
                </c:pt>
                <c:pt idx="570">
                  <c:v>884.75970068667903</c:v>
                </c:pt>
                <c:pt idx="571">
                  <c:v>873.91146256563616</c:v>
                </c:pt>
                <c:pt idx="572">
                  <c:v>863.06449155596192</c:v>
                </c:pt>
                <c:pt idx="573">
                  <c:v>852.21887163970325</c:v>
                </c:pt>
                <c:pt idx="574">
                  <c:v>841.37468532249261</c:v>
                </c:pt>
                <c:pt idx="575">
                  <c:v>830.53201365526809</c:v>
                </c:pt>
                <c:pt idx="576">
                  <c:v>819.69093625574067</c:v>
                </c:pt>
                <c:pt idx="577">
                  <c:v>808.85153132960943</c:v>
                </c:pt>
                <c:pt idx="578">
                  <c:v>798.01387569152598</c:v>
                </c:pt>
                <c:pt idx="579">
                  <c:v>787.17804478580922</c:v>
                </c:pt>
                <c:pt idx="580">
                  <c:v>776.34411270691146</c:v>
                </c:pt>
                <c:pt idx="581">
                  <c:v>765.51215221963764</c:v>
                </c:pt>
                <c:pt idx="582">
                  <c:v>754.68223477911852</c:v>
                </c:pt>
                <c:pt idx="583">
                  <c:v>743.85443055053975</c:v>
                </c:pt>
                <c:pt idx="584">
                  <c:v>733.02880842862749</c:v>
                </c:pt>
                <c:pt idx="585">
                  <c:v>722.20543605689295</c:v>
                </c:pt>
                <c:pt idx="586">
                  <c:v>711.38437984663665</c:v>
                </c:pt>
                <c:pt idx="587">
                  <c:v>700.56570499571444</c:v>
                </c:pt>
                <c:pt idx="588">
                  <c:v>689.74947550706679</c:v>
                </c:pt>
                <c:pt idx="589">
                  <c:v>678.93575420701268</c:v>
                </c:pt>
                <c:pt idx="590">
                  <c:v>668.12460276331035</c:v>
                </c:pt>
                <c:pt idx="591">
                  <c:v>657.31608170298568</c:v>
                </c:pt>
                <c:pt idx="592">
                  <c:v>646.51025042993138</c:v>
                </c:pt>
                <c:pt idx="593">
                  <c:v>635.70716724227748</c:v>
                </c:pt>
                <c:pt idx="594">
                  <c:v>624.90688934953516</c:v>
                </c:pt>
                <c:pt idx="595">
                  <c:v>614.10947288951638</c:v>
                </c:pt>
                <c:pt idx="596">
                  <c:v>603.31497294503072</c:v>
                </c:pt>
                <c:pt idx="597">
                  <c:v>592.52344356036087</c:v>
                </c:pt>
                <c:pt idx="598">
                  <c:v>581.73493775751945</c:v>
                </c:pt>
                <c:pt idx="599">
                  <c:v>570.94950755228865</c:v>
                </c:pt>
                <c:pt idx="600">
                  <c:v>560.16720397004474</c:v>
                </c:pt>
                <c:pt idx="601">
                  <c:v>549.38807706136913</c:v>
                </c:pt>
                <c:pt idx="602">
                  <c:v>538.61217591744821</c:v>
                </c:pt>
                <c:pt idx="603">
                  <c:v>527.83954868526394</c:v>
                </c:pt>
                <c:pt idx="604">
                  <c:v>517.07024258257695</c:v>
                </c:pt>
                <c:pt idx="605">
                  <c:v>506.30430391270414</c:v>
                </c:pt>
                <c:pt idx="606">
                  <c:v>495.54177807909315</c:v>
                </c:pt>
                <c:pt idx="607">
                  <c:v>484.78270959969524</c:v>
                </c:pt>
                <c:pt idx="608">
                  <c:v>474.02714212113875</c:v>
                </c:pt>
                <c:pt idx="609">
                  <c:v>463.27511843270531</c:v>
                </c:pt>
                <c:pt idx="610">
                  <c:v>452.52668048011054</c:v>
                </c:pt>
                <c:pt idx="611">
                  <c:v>441.7818693790914</c:v>
                </c:pt>
                <c:pt idx="612">
                  <c:v>431.04072542880226</c:v>
                </c:pt>
                <c:pt idx="613">
                  <c:v>420.3032881250216</c:v>
                </c:pt>
                <c:pt idx="614">
                  <c:v>409.56959617317142</c:v>
                </c:pt>
                <c:pt idx="615">
                  <c:v>398.83968750115127</c:v>
                </c:pt>
                <c:pt idx="616">
                  <c:v>388.11359927198913</c:v>
                </c:pt>
                <c:pt idx="617">
                  <c:v>377.39136789631095</c:v>
                </c:pt>
                <c:pt idx="618">
                  <c:v>366.67302904463099</c:v>
                </c:pt>
                <c:pt idx="619">
                  <c:v>355.95861765946472</c:v>
                </c:pt>
                <c:pt idx="620">
                  <c:v>345.24816796726668</c:v>
                </c:pt>
                <c:pt idx="621">
                  <c:v>334.54171349019509</c:v>
                </c:pt>
                <c:pt idx="622">
                  <c:v>323.83928705770495</c:v>
                </c:pt>
                <c:pt idx="623">
                  <c:v>313.14092081797213</c:v>
                </c:pt>
                <c:pt idx="624">
                  <c:v>302.44664624914998</c:v>
                </c:pt>
                <c:pt idx="625">
                  <c:v>291.75649417046054</c:v>
                </c:pt>
                <c:pt idx="626">
                  <c:v>281.0704947531226</c:v>
                </c:pt>
                <c:pt idx="627">
                  <c:v>270.38867753111805</c:v>
                </c:pt>
                <c:pt idx="628">
                  <c:v>259.71107141179886</c:v>
                </c:pt>
                <c:pt idx="629">
                  <c:v>249.03770468633653</c:v>
                </c:pt>
                <c:pt idx="630">
                  <c:v>238.36860504001572</c:v>
                </c:pt>
                <c:pt idx="631">
                  <c:v>227.70379956237426</c:v>
                </c:pt>
                <c:pt idx="632">
                  <c:v>217.04331475719127</c:v>
                </c:pt>
                <c:pt idx="633">
                  <c:v>206.38717655232529</c:v>
                </c:pt>
                <c:pt idx="634">
                  <c:v>195.73541030940436</c:v>
                </c:pt>
                <c:pt idx="635">
                  <c:v>185.08804083336983</c:v>
                </c:pt>
                <c:pt idx="636">
                  <c:v>174.44509238187575</c:v>
                </c:pt>
                <c:pt idx="637">
                  <c:v>163.80658867454582</c:v>
                </c:pt>
                <c:pt idx="638">
                  <c:v>153.17255290208945</c:v>
                </c:pt>
                <c:pt idx="639">
                  <c:v>142.54300773527902</c:v>
                </c:pt>
                <c:pt idx="640">
                  <c:v>131.91797533378997</c:v>
                </c:pt>
                <c:pt idx="641">
                  <c:v>121.29747735490554</c:v>
                </c:pt>
                <c:pt idx="642">
                  <c:v>110.68153496208794</c:v>
                </c:pt>
                <c:pt idx="643">
                  <c:v>100.07016883341764</c:v>
                </c:pt>
                <c:pt idx="644">
                  <c:v>89.463399169902644</c:v>
                </c:pt>
                <c:pt idx="645">
                  <c:v>78.861245703659364</c:v>
                </c:pt>
                <c:pt idx="646">
                  <c:v>68.263727705966787</c:v>
                </c:pt>
                <c:pt idx="647">
                  <c:v>57.670863995195738</c:v>
                </c:pt>
                <c:pt idx="648">
                  <c:v>47.082672944614842</c:v>
                </c:pt>
                <c:pt idx="649">
                  <c:v>36.49917249007482</c:v>
                </c:pt>
                <c:pt idx="650">
                  <c:v>25.920380137572835</c:v>
                </c:pt>
                <c:pt idx="651">
                  <c:v>15.346312970698486</c:v>
                </c:pt>
                <c:pt idx="652">
                  <c:v>4.7769876579630619</c:v>
                </c:pt>
                <c:pt idx="653">
                  <c:v>-5.7875795399863339</c:v>
                </c:pt>
                <c:pt idx="654">
                  <c:v>-5.798141721721362</c:v>
                </c:pt>
                <c:pt idx="655">
                  <c:v>-5.8087038986745769</c:v>
                </c:pt>
                <c:pt idx="656">
                  <c:v>-5.8192660708459636</c:v>
                </c:pt>
                <c:pt idx="657">
                  <c:v>-5.829828238235506</c:v>
                </c:pt>
                <c:pt idx="658">
                  <c:v>-5.8403904008431899</c:v>
                </c:pt>
                <c:pt idx="659">
                  <c:v>-5.8509525586689994</c:v>
                </c:pt>
                <c:pt idx="660">
                  <c:v>-5.8615147117129194</c:v>
                </c:pt>
                <c:pt idx="661">
                  <c:v>-5.8720768599749347</c:v>
                </c:pt>
                <c:pt idx="662">
                  <c:v>-5.8826390034550302</c:v>
                </c:pt>
                <c:pt idx="663">
                  <c:v>-5.89320114215319</c:v>
                </c:pt>
                <c:pt idx="664">
                  <c:v>-5.903763276069399</c:v>
                </c:pt>
                <c:pt idx="665">
                  <c:v>-5.914325405203642</c:v>
                </c:pt>
                <c:pt idx="666">
                  <c:v>-5.9248875295559031</c:v>
                </c:pt>
                <c:pt idx="667">
                  <c:v>-5.9354496491261681</c:v>
                </c:pt>
                <c:pt idx="668">
                  <c:v>-5.946011763914421</c:v>
                </c:pt>
                <c:pt idx="669">
                  <c:v>-5.9565738739206466</c:v>
                </c:pt>
                <c:pt idx="670">
                  <c:v>-5.9671359791448291</c:v>
                </c:pt>
                <c:pt idx="671">
                  <c:v>-5.9776980795869541</c:v>
                </c:pt>
                <c:pt idx="672">
                  <c:v>-5.9882601752470057</c:v>
                </c:pt>
                <c:pt idx="673">
                  <c:v>-5.9988222661249688</c:v>
                </c:pt>
                <c:pt idx="674">
                  <c:v>-6.0093843522208283</c:v>
                </c:pt>
                <c:pt idx="675">
                  <c:v>-6.0199464335345683</c:v>
                </c:pt>
                <c:pt idx="676">
                  <c:v>-6.0305085100661735</c:v>
                </c:pt>
                <c:pt idx="677">
                  <c:v>-6.0410705818156289</c:v>
                </c:pt>
                <c:pt idx="678">
                  <c:v>-6.0516326487829195</c:v>
                </c:pt>
                <c:pt idx="679">
                  <c:v>-6.0621947109680301</c:v>
                </c:pt>
                <c:pt idx="680">
                  <c:v>-6.0727567683709447</c:v>
                </c:pt>
                <c:pt idx="681">
                  <c:v>-6.0833188209916482</c:v>
                </c:pt>
                <c:pt idx="682">
                  <c:v>-6.0938808688301256</c:v>
                </c:pt>
                <c:pt idx="683">
                  <c:v>-6.1044429118863608</c:v>
                </c:pt>
                <c:pt idx="684">
                  <c:v>-6.1150049501603396</c:v>
                </c:pt>
                <c:pt idx="685">
                  <c:v>-6.1255669836520461</c:v>
                </c:pt>
                <c:pt idx="686">
                  <c:v>-6.1361290123614651</c:v>
                </c:pt>
                <c:pt idx="687">
                  <c:v>-6.1466910362885816</c:v>
                </c:pt>
                <c:pt idx="688">
                  <c:v>-6.1572530554333795</c:v>
                </c:pt>
                <c:pt idx="689">
                  <c:v>-6.1678150697958438</c:v>
                </c:pt>
                <c:pt idx="690">
                  <c:v>-6.1783770793759594</c:v>
                </c:pt>
                <c:pt idx="691">
                  <c:v>-6.1889390841737111</c:v>
                </c:pt>
                <c:pt idx="692">
                  <c:v>-6.1995010841890839</c:v>
                </c:pt>
                <c:pt idx="693">
                  <c:v>-6.2100630794220617</c:v>
                </c:pt>
                <c:pt idx="694">
                  <c:v>-6.2206250698726295</c:v>
                </c:pt>
                <c:pt idx="695">
                  <c:v>-6.2311870555407722</c:v>
                </c:pt>
                <c:pt idx="696">
                  <c:v>-6.2417490364264747</c:v>
                </c:pt>
                <c:pt idx="697">
                  <c:v>-6.252311012529721</c:v>
                </c:pt>
                <c:pt idx="698">
                  <c:v>-6.262872983850496</c:v>
                </c:pt>
                <c:pt idx="699">
                  <c:v>-6.2734349503887845</c:v>
                </c:pt>
                <c:pt idx="700">
                  <c:v>-6.2839969121445716</c:v>
                </c:pt>
                <c:pt idx="701">
                  <c:v>-6.2945588691178411</c:v>
                </c:pt>
                <c:pt idx="702">
                  <c:v>-6.305120821308579</c:v>
                </c:pt>
                <c:pt idx="703">
                  <c:v>-6.3156827687167691</c:v>
                </c:pt>
                <c:pt idx="704">
                  <c:v>-6.3262447113423965</c:v>
                </c:pt>
                <c:pt idx="705">
                  <c:v>-6.3368066491854451</c:v>
                </c:pt>
                <c:pt idx="706">
                  <c:v>-6.3473685822459007</c:v>
                </c:pt>
                <c:pt idx="707">
                  <c:v>-6.3579305105237474</c:v>
                </c:pt>
                <c:pt idx="708">
                  <c:v>-6.3684924340189699</c:v>
                </c:pt>
                <c:pt idx="709">
                  <c:v>-6.3790543527315533</c:v>
                </c:pt>
                <c:pt idx="710">
                  <c:v>-6.3896162666614815</c:v>
                </c:pt>
                <c:pt idx="711">
                  <c:v>-6.4001781758087404</c:v>
                </c:pt>
                <c:pt idx="712">
                  <c:v>-6.4107400801733139</c:v>
                </c:pt>
                <c:pt idx="713">
                  <c:v>-6.4213019797551869</c:v>
                </c:pt>
                <c:pt idx="714">
                  <c:v>-6.4318638745543435</c:v>
                </c:pt>
                <c:pt idx="715">
                  <c:v>-6.4424257645707694</c:v>
                </c:pt>
                <c:pt idx="716">
                  <c:v>-6.4529876498044487</c:v>
                </c:pt>
                <c:pt idx="717">
                  <c:v>-6.4635495302553663</c:v>
                </c:pt>
                <c:pt idx="718">
                  <c:v>-6.474111405923507</c:v>
                </c:pt>
                <c:pt idx="719">
                  <c:v>-6.4846732768088549</c:v>
                </c:pt>
                <c:pt idx="720">
                  <c:v>-6.4952351429113957</c:v>
                </c:pt>
                <c:pt idx="721">
                  <c:v>-6.5057970042311135</c:v>
                </c:pt>
                <c:pt idx="722">
                  <c:v>-6.5163588607679932</c:v>
                </c:pt>
                <c:pt idx="723">
                  <c:v>-6.5269207125220188</c:v>
                </c:pt>
                <c:pt idx="724">
                  <c:v>-6.537482559493176</c:v>
                </c:pt>
                <c:pt idx="725">
                  <c:v>-6.548044401681449</c:v>
                </c:pt>
                <c:pt idx="726">
                  <c:v>-6.5586062390868225</c:v>
                </c:pt>
                <c:pt idx="727">
                  <c:v>-6.5691680717092815</c:v>
                </c:pt>
                <c:pt idx="728">
                  <c:v>-6.5797298995488109</c:v>
                </c:pt>
                <c:pt idx="729">
                  <c:v>-6.5902917226053948</c:v>
                </c:pt>
                <c:pt idx="730">
                  <c:v>-6.6008535408790188</c:v>
                </c:pt>
                <c:pt idx="731">
                  <c:v>-6.611415354369667</c:v>
                </c:pt>
                <c:pt idx="732">
                  <c:v>-6.6219771630773243</c:v>
                </c:pt>
                <c:pt idx="733">
                  <c:v>-6.6325389670019748</c:v>
                </c:pt>
                <c:pt idx="734">
                  <c:v>-6.6431007661436041</c:v>
                </c:pt>
                <c:pt idx="735">
                  <c:v>-6.6536625605021964</c:v>
                </c:pt>
                <c:pt idx="736">
                  <c:v>-6.6642243500777365</c:v>
                </c:pt>
                <c:pt idx="737">
                  <c:v>-6.6747861348702084</c:v>
                </c:pt>
                <c:pt idx="738">
                  <c:v>-6.685347914879598</c:v>
                </c:pt>
                <c:pt idx="739">
                  <c:v>-6.6959096901058892</c:v>
                </c:pt>
                <c:pt idx="740">
                  <c:v>-6.7064714605490678</c:v>
                </c:pt>
                <c:pt idx="741">
                  <c:v>-6.7170332262091179</c:v>
                </c:pt>
                <c:pt idx="742">
                  <c:v>-6.7275949870860234</c:v>
                </c:pt>
                <c:pt idx="743">
                  <c:v>-6.7381567431797702</c:v>
                </c:pt>
                <c:pt idx="744">
                  <c:v>-6.7487184944903422</c:v>
                </c:pt>
                <c:pt idx="745">
                  <c:v>-6.7592802410177244</c:v>
                </c:pt>
                <c:pt idx="746">
                  <c:v>-6.7698419827619016</c:v>
                </c:pt>
                <c:pt idx="747">
                  <c:v>-6.7804037197228588</c:v>
                </c:pt>
                <c:pt idx="748">
                  <c:v>-6.7909654519005809</c:v>
                </c:pt>
                <c:pt idx="749">
                  <c:v>-6.8015271792950518</c:v>
                </c:pt>
                <c:pt idx="750">
                  <c:v>-6.8120889019062565</c:v>
                </c:pt>
                <c:pt idx="751">
                  <c:v>-6.8226506197341799</c:v>
                </c:pt>
                <c:pt idx="752">
                  <c:v>-6.8332123327788068</c:v>
                </c:pt>
                <c:pt idx="753">
                  <c:v>-6.8437740410401213</c:v>
                </c:pt>
                <c:pt idx="754">
                  <c:v>-6.8543357445181083</c:v>
                </c:pt>
                <c:pt idx="755">
                  <c:v>-6.8648974432127536</c:v>
                </c:pt>
                <c:pt idx="756">
                  <c:v>-6.8754591371240412</c:v>
                </c:pt>
                <c:pt idx="757">
                  <c:v>-6.8860208262519551</c:v>
                </c:pt>
                <c:pt idx="758">
                  <c:v>-6.8965825105964811</c:v>
                </c:pt>
                <c:pt idx="759">
                  <c:v>-6.9071441901576032</c:v>
                </c:pt>
                <c:pt idx="760">
                  <c:v>-6.9177058649353063</c:v>
                </c:pt>
                <c:pt idx="761">
                  <c:v>-6.9282675349295753</c:v>
                </c:pt>
                <c:pt idx="762">
                  <c:v>-6.9388292001403951</c:v>
                </c:pt>
                <c:pt idx="763">
                  <c:v>-6.9493908605677497</c:v>
                </c:pt>
                <c:pt idx="764">
                  <c:v>-6.9599525162116249</c:v>
                </c:pt>
                <c:pt idx="765">
                  <c:v>-6.9705141670720048</c:v>
                </c:pt>
                <c:pt idx="766">
                  <c:v>-6.9810758131488742</c:v>
                </c:pt>
                <c:pt idx="767">
                  <c:v>-6.991637454442218</c:v>
                </c:pt>
                <c:pt idx="768">
                  <c:v>-7.0021990909520202</c:v>
                </c:pt>
                <c:pt idx="769">
                  <c:v>-7.0127607226782667</c:v>
                </c:pt>
                <c:pt idx="770">
                  <c:v>-7.0233223496209414</c:v>
                </c:pt>
                <c:pt idx="771">
                  <c:v>-7.0338839717800292</c:v>
                </c:pt>
                <c:pt idx="772">
                  <c:v>-7.0444455891555151</c:v>
                </c:pt>
                <c:pt idx="773">
                  <c:v>-7.055007201747383</c:v>
                </c:pt>
                <c:pt idx="774">
                  <c:v>-7.0655688095556188</c:v>
                </c:pt>
                <c:pt idx="775">
                  <c:v>-7.0761304125802065</c:v>
                </c:pt>
                <c:pt idx="776">
                  <c:v>-7.0866920108211309</c:v>
                </c:pt>
                <c:pt idx="777">
                  <c:v>-7.0972536042783769</c:v>
                </c:pt>
                <c:pt idx="778">
                  <c:v>-7.1078151929519287</c:v>
                </c:pt>
                <c:pt idx="779">
                  <c:v>-7.1183767768417718</c:v>
                </c:pt>
                <c:pt idx="780">
                  <c:v>-7.1289383559478905</c:v>
                </c:pt>
                <c:pt idx="781">
                  <c:v>-7.1394999302702695</c:v>
                </c:pt>
                <c:pt idx="782">
                  <c:v>-7.1500614998088938</c:v>
                </c:pt>
                <c:pt idx="783">
                  <c:v>-7.1606230645637483</c:v>
                </c:pt>
                <c:pt idx="784">
                  <c:v>-7.171184624534817</c:v>
                </c:pt>
                <c:pt idx="785">
                  <c:v>-7.1817461797220856</c:v>
                </c:pt>
                <c:pt idx="786">
                  <c:v>-7.1923077301255383</c:v>
                </c:pt>
                <c:pt idx="787">
                  <c:v>-7.2028692757451598</c:v>
                </c:pt>
                <c:pt idx="788">
                  <c:v>-7.2134308165809342</c:v>
                </c:pt>
                <c:pt idx="789">
                  <c:v>-7.2239923526328473</c:v>
                </c:pt>
                <c:pt idx="790">
                  <c:v>-7.2345538839008832</c:v>
                </c:pt>
                <c:pt idx="791">
                  <c:v>-7.2451154103850275</c:v>
                </c:pt>
                <c:pt idx="792">
                  <c:v>-7.2556769320852643</c:v>
                </c:pt>
                <c:pt idx="793">
                  <c:v>-7.2662384490015786</c:v>
                </c:pt>
                <c:pt idx="794">
                  <c:v>-7.2767999611339542</c:v>
                </c:pt>
                <c:pt idx="795">
                  <c:v>-7.2873614684823771</c:v>
                </c:pt>
                <c:pt idx="796">
                  <c:v>-7.2979229710468312</c:v>
                </c:pt>
                <c:pt idx="797">
                  <c:v>-7.3084844688273014</c:v>
                </c:pt>
                <c:pt idx="798">
                  <c:v>-7.3190459618237727</c:v>
                </c:pt>
                <c:pt idx="799">
                  <c:v>-7.3296074500362298</c:v>
                </c:pt>
                <c:pt idx="800">
                  <c:v>-7.3401689334646569</c:v>
                </c:pt>
                <c:pt idx="801">
                  <c:v>-7.3507304121090398</c:v>
                </c:pt>
                <c:pt idx="802">
                  <c:v>-7.3612918859693623</c:v>
                </c:pt>
                <c:pt idx="803">
                  <c:v>-7.3718533550456096</c:v>
                </c:pt>
                <c:pt idx="804">
                  <c:v>-7.3824148193377663</c:v>
                </c:pt>
                <c:pt idx="805">
                  <c:v>-7.3929762788458175</c:v>
                </c:pt>
                <c:pt idx="806">
                  <c:v>-7.4035377335697472</c:v>
                </c:pt>
                <c:pt idx="807">
                  <c:v>-7.4140991835095402</c:v>
                </c:pt>
                <c:pt idx="808">
                  <c:v>-7.4246606286651824</c:v>
                </c:pt>
                <c:pt idx="809">
                  <c:v>-7.4352220690366577</c:v>
                </c:pt>
                <c:pt idx="810">
                  <c:v>-7.4457835046239502</c:v>
                </c:pt>
                <c:pt idx="811">
                  <c:v>-7.4563449354270457</c:v>
                </c:pt>
                <c:pt idx="812">
                  <c:v>-7.4669063614459281</c:v>
                </c:pt>
                <c:pt idx="813">
                  <c:v>-7.4774677826805833</c:v>
                </c:pt>
                <c:pt idx="814">
                  <c:v>-7.4880291991309953</c:v>
                </c:pt>
                <c:pt idx="815">
                  <c:v>-7.4985906107971489</c:v>
                </c:pt>
                <c:pt idx="816">
                  <c:v>-7.5091520176790283</c:v>
                </c:pt>
                <c:pt idx="817">
                  <c:v>-7.5197134197766191</c:v>
                </c:pt>
                <c:pt idx="818">
                  <c:v>-7.5302748170899054</c:v>
                </c:pt>
                <c:pt idx="819">
                  <c:v>-7.540836209618873</c:v>
                </c:pt>
                <c:pt idx="820">
                  <c:v>-7.5513975973635059</c:v>
                </c:pt>
                <c:pt idx="821">
                  <c:v>-7.561958980323789</c:v>
                </c:pt>
                <c:pt idx="822">
                  <c:v>-7.5725203584997063</c:v>
                </c:pt>
                <c:pt idx="823">
                  <c:v>-7.5830817318912436</c:v>
                </c:pt>
                <c:pt idx="824">
                  <c:v>-7.5936431004983849</c:v>
                </c:pt>
                <c:pt idx="825">
                  <c:v>-7.6042044643211151</c:v>
                </c:pt>
                <c:pt idx="826">
                  <c:v>-7.61476582335942</c:v>
                </c:pt>
                <c:pt idx="827">
                  <c:v>-7.6253271776132827</c:v>
                </c:pt>
                <c:pt idx="828">
                  <c:v>-7.6358885270826891</c:v>
                </c:pt>
                <c:pt idx="829">
                  <c:v>-7.6464498717676239</c:v>
                </c:pt>
                <c:pt idx="830">
                  <c:v>-7.6570112116680713</c:v>
                </c:pt>
                <c:pt idx="831">
                  <c:v>-7.6675725467840161</c:v>
                </c:pt>
                <c:pt idx="832">
                  <c:v>-7.6781338771154433</c:v>
                </c:pt>
                <c:pt idx="833">
                  <c:v>-7.6886952026623376</c:v>
                </c:pt>
                <c:pt idx="834">
                  <c:v>-7.6992565234246841</c:v>
                </c:pt>
                <c:pt idx="835">
                  <c:v>-7.7098178394024668</c:v>
                </c:pt>
                <c:pt idx="836">
                  <c:v>-7.7203791505956714</c:v>
                </c:pt>
                <c:pt idx="837">
                  <c:v>-7.7309404570042819</c:v>
                </c:pt>
                <c:pt idx="838">
                  <c:v>-7.7415017586282833</c:v>
                </c:pt>
                <c:pt idx="839">
                  <c:v>-7.7520630554676604</c:v>
                </c:pt>
                <c:pt idx="840">
                  <c:v>-7.7626243475223982</c:v>
                </c:pt>
                <c:pt idx="841">
                  <c:v>-7.7731856347924806</c:v>
                </c:pt>
                <c:pt idx="842">
                  <c:v>-7.7837469172778935</c:v>
                </c:pt>
                <c:pt idx="843">
                  <c:v>-7.7943081949786208</c:v>
                </c:pt>
                <c:pt idx="844">
                  <c:v>-7.8048694678946475</c:v>
                </c:pt>
                <c:pt idx="845">
                  <c:v>-7.8154307360259585</c:v>
                </c:pt>
                <c:pt idx="846">
                  <c:v>-7.8259919993725386</c:v>
                </c:pt>
                <c:pt idx="847">
                  <c:v>-7.836553257934372</c:v>
                </c:pt>
                <c:pt idx="848">
                  <c:v>-7.8471145117114443</c:v>
                </c:pt>
                <c:pt idx="849">
                  <c:v>-7.8576757607037395</c:v>
                </c:pt>
                <c:pt idx="850">
                  <c:v>-7.8682370049112427</c:v>
                </c:pt>
                <c:pt idx="851">
                  <c:v>-7.8787982443339386</c:v>
                </c:pt>
                <c:pt idx="852">
                  <c:v>-7.8893594789718122</c:v>
                </c:pt>
                <c:pt idx="853">
                  <c:v>-7.8999207088248475</c:v>
                </c:pt>
                <c:pt idx="854">
                  <c:v>-7.9104819338930303</c:v>
                </c:pt>
                <c:pt idx="855">
                  <c:v>-7.9210431541763446</c:v>
                </c:pt>
                <c:pt idx="856">
                  <c:v>-7.9316043696747753</c:v>
                </c:pt>
                <c:pt idx="857">
                  <c:v>-7.9421655803883073</c:v>
                </c:pt>
                <c:pt idx="858">
                  <c:v>-7.9527267863169255</c:v>
                </c:pt>
                <c:pt idx="859">
                  <c:v>-7.9632879874606148</c:v>
                </c:pt>
                <c:pt idx="860">
                  <c:v>-7.9738491838193593</c:v>
                </c:pt>
                <c:pt idx="861">
                  <c:v>-7.9844103753931446</c:v>
                </c:pt>
                <c:pt idx="862">
                  <c:v>-7.9949715621819548</c:v>
                </c:pt>
                <c:pt idx="863">
                  <c:v>-8.0055327441857749</c:v>
                </c:pt>
                <c:pt idx="864">
                  <c:v>-8.0160939214045897</c:v>
                </c:pt>
                <c:pt idx="865">
                  <c:v>-8.026655093838384</c:v>
                </c:pt>
                <c:pt idx="866">
                  <c:v>-8.0372162614871421</c:v>
                </c:pt>
                <c:pt idx="867">
                  <c:v>-8.0477774243508495</c:v>
                </c:pt>
                <c:pt idx="868">
                  <c:v>-8.0583385824294904</c:v>
                </c:pt>
                <c:pt idx="869">
                  <c:v>-8.0688997357230505</c:v>
                </c:pt>
                <c:pt idx="870">
                  <c:v>-8.0794608842315139</c:v>
                </c:pt>
                <c:pt idx="871">
                  <c:v>-8.0900220279548645</c:v>
                </c:pt>
                <c:pt idx="872">
                  <c:v>-8.1005831668930881</c:v>
                </c:pt>
                <c:pt idx="873">
                  <c:v>-8.1111443010461688</c:v>
                </c:pt>
                <c:pt idx="874">
                  <c:v>-8.1217054304140923</c:v>
                </c:pt>
                <c:pt idx="875">
                  <c:v>-8.1322665549968427</c:v>
                </c:pt>
                <c:pt idx="876">
                  <c:v>-8.1428276747944057</c:v>
                </c:pt>
                <c:pt idx="877">
                  <c:v>-8.1533887898067654</c:v>
                </c:pt>
                <c:pt idx="878">
                  <c:v>-8.1639499000339057</c:v>
                </c:pt>
                <c:pt idx="879">
                  <c:v>-8.1745110054758126</c:v>
                </c:pt>
                <c:pt idx="880">
                  <c:v>-8.1850721061324698</c:v>
                </c:pt>
                <c:pt idx="881">
                  <c:v>-8.1956332020038634</c:v>
                </c:pt>
                <c:pt idx="882">
                  <c:v>-8.2061942930899772</c:v>
                </c:pt>
                <c:pt idx="883">
                  <c:v>-8.216755379390797</c:v>
                </c:pt>
                <c:pt idx="884">
                  <c:v>-8.227316460906307</c:v>
                </c:pt>
                <c:pt idx="885">
                  <c:v>-8.237877537636491</c:v>
                </c:pt>
                <c:pt idx="886">
                  <c:v>-8.2484386095813349</c:v>
                </c:pt>
                <c:pt idx="887">
                  <c:v>-8.2589996767408227</c:v>
                </c:pt>
                <c:pt idx="888">
                  <c:v>-8.2695607391149402</c:v>
                </c:pt>
                <c:pt idx="889">
                  <c:v>-8.2801217967036713</c:v>
                </c:pt>
                <c:pt idx="890">
                  <c:v>-8.290682849507002</c:v>
                </c:pt>
                <c:pt idx="891">
                  <c:v>-8.3012438975249161</c:v>
                </c:pt>
                <c:pt idx="892">
                  <c:v>-8.3118049407573977</c:v>
                </c:pt>
                <c:pt idx="893">
                  <c:v>-8.3223659792044327</c:v>
                </c:pt>
                <c:pt idx="894">
                  <c:v>-8.3329270128660049</c:v>
                </c:pt>
                <c:pt idx="895">
                  <c:v>-8.3434880417421002</c:v>
                </c:pt>
                <c:pt idx="896">
                  <c:v>-8.3540490658327027</c:v>
                </c:pt>
                <c:pt idx="897">
                  <c:v>-8.3646100851377962</c:v>
                </c:pt>
                <c:pt idx="898">
                  <c:v>-8.3751710996573667</c:v>
                </c:pt>
                <c:pt idx="899">
                  <c:v>-8.3857321093913999</c:v>
                </c:pt>
                <c:pt idx="900">
                  <c:v>-8.3962931143398798</c:v>
                </c:pt>
                <c:pt idx="901">
                  <c:v>-8.4068541145027904</c:v>
                </c:pt>
                <c:pt idx="902">
                  <c:v>-8.4174151098801175</c:v>
                </c:pt>
                <c:pt idx="903">
                  <c:v>-8.4279761004718452</c:v>
                </c:pt>
                <c:pt idx="904">
                  <c:v>-8.4385370862779592</c:v>
                </c:pt>
                <c:pt idx="905">
                  <c:v>-8.4490980672984435</c:v>
                </c:pt>
                <c:pt idx="906">
                  <c:v>-8.4596590435332821</c:v>
                </c:pt>
                <c:pt idx="907">
                  <c:v>-8.4702200149824609</c:v>
                </c:pt>
                <c:pt idx="908">
                  <c:v>-8.4807809816459638</c:v>
                </c:pt>
                <c:pt idx="909">
                  <c:v>-8.4913419435237767</c:v>
                </c:pt>
                <c:pt idx="910">
                  <c:v>-8.5019029006158835</c:v>
                </c:pt>
                <c:pt idx="911">
                  <c:v>-8.51246385292227</c:v>
                </c:pt>
                <c:pt idx="912">
                  <c:v>-8.5230248004429203</c:v>
                </c:pt>
                <c:pt idx="913">
                  <c:v>-8.5335857431778184</c:v>
                </c:pt>
                <c:pt idx="914">
                  <c:v>-8.54414668112695</c:v>
                </c:pt>
                <c:pt idx="915">
                  <c:v>-8.5547076142903009</c:v>
                </c:pt>
                <c:pt idx="916">
                  <c:v>-8.5652685426678534</c:v>
                </c:pt>
                <c:pt idx="917">
                  <c:v>-8.5758294662595951</c:v>
                </c:pt>
                <c:pt idx="918">
                  <c:v>-8.5863903850655081</c:v>
                </c:pt>
                <c:pt idx="919">
                  <c:v>-8.5969512990855783</c:v>
                </c:pt>
                <c:pt idx="920">
                  <c:v>-8.6075122083197915</c:v>
                </c:pt>
                <c:pt idx="921">
                  <c:v>-8.6180731127681316</c:v>
                </c:pt>
                <c:pt idx="922">
                  <c:v>-8.6286340124305827</c:v>
                </c:pt>
                <c:pt idx="923">
                  <c:v>-8.6391949073071306</c:v>
                </c:pt>
                <c:pt idx="924">
                  <c:v>-8.6497557973977592</c:v>
                </c:pt>
                <c:pt idx="925">
                  <c:v>-8.6603166827024545</c:v>
                </c:pt>
                <c:pt idx="926">
                  <c:v>-8.6708775632212003</c:v>
                </c:pt>
                <c:pt idx="927">
                  <c:v>-8.6814384389539825</c:v>
                </c:pt>
                <c:pt idx="928">
                  <c:v>-8.6919993099007851</c:v>
                </c:pt>
                <c:pt idx="929">
                  <c:v>-8.702560176061592</c:v>
                </c:pt>
                <c:pt idx="930">
                  <c:v>-8.7131210374363892</c:v>
                </c:pt>
                <c:pt idx="931">
                  <c:v>-8.7236818940251624</c:v>
                </c:pt>
                <c:pt idx="932">
                  <c:v>-8.7342427458278937</c:v>
                </c:pt>
                <c:pt idx="933">
                  <c:v>-8.7448035928445709</c:v>
                </c:pt>
                <c:pt idx="934">
                  <c:v>-8.755364435075176</c:v>
                </c:pt>
                <c:pt idx="935">
                  <c:v>-8.765925272519695</c:v>
                </c:pt>
                <c:pt idx="936">
                  <c:v>-8.7764861051781136</c:v>
                </c:pt>
                <c:pt idx="937">
                  <c:v>-8.7870469330504157</c:v>
                </c:pt>
                <c:pt idx="938">
                  <c:v>-8.7976077561365855</c:v>
                </c:pt>
                <c:pt idx="939">
                  <c:v>-8.8081685744366087</c:v>
                </c:pt>
                <c:pt idx="940">
                  <c:v>-8.8187293879504693</c:v>
                </c:pt>
                <c:pt idx="941">
                  <c:v>-8.8292901966781532</c:v>
                </c:pt>
                <c:pt idx="942">
                  <c:v>-8.8398510006196442</c:v>
                </c:pt>
                <c:pt idx="943">
                  <c:v>-8.8504117997749283</c:v>
                </c:pt>
                <c:pt idx="944">
                  <c:v>-8.8609725941439894</c:v>
                </c:pt>
                <c:pt idx="945">
                  <c:v>-8.8715333837268116</c:v>
                </c:pt>
                <c:pt idx="946">
                  <c:v>-8.8820941685233805</c:v>
                </c:pt>
                <c:pt idx="947">
                  <c:v>-8.8926549485336821</c:v>
                </c:pt>
                <c:pt idx="948">
                  <c:v>-8.9032157237577003</c:v>
                </c:pt>
                <c:pt idx="949">
                  <c:v>-8.9137764941954192</c:v>
                </c:pt>
                <c:pt idx="950">
                  <c:v>-8.9243372598468227</c:v>
                </c:pt>
                <c:pt idx="951">
                  <c:v>-8.9348980207118984</c:v>
                </c:pt>
                <c:pt idx="952">
                  <c:v>-8.9454587767906286</c:v>
                </c:pt>
                <c:pt idx="953">
                  <c:v>-8.9560195280829991</c:v>
                </c:pt>
                <c:pt idx="954">
                  <c:v>-8.9665802745889955</c:v>
                </c:pt>
                <c:pt idx="955">
                  <c:v>-8.9771410163086021</c:v>
                </c:pt>
                <c:pt idx="956">
                  <c:v>-8.9877017532418026</c:v>
                </c:pt>
                <c:pt idx="957">
                  <c:v>-8.9982624853885831</c:v>
                </c:pt>
                <c:pt idx="958">
                  <c:v>-9.0088232127489274</c:v>
                </c:pt>
                <c:pt idx="959">
                  <c:v>-9.0193839353228213</c:v>
                </c:pt>
                <c:pt idx="960">
                  <c:v>-9.029944653110249</c:v>
                </c:pt>
                <c:pt idx="961">
                  <c:v>-9.0405053661111943</c:v>
                </c:pt>
                <c:pt idx="962">
                  <c:v>-9.051066074325643</c:v>
                </c:pt>
                <c:pt idx="963">
                  <c:v>-9.0616267777535811</c:v>
                </c:pt>
                <c:pt idx="964">
                  <c:v>-9.0721874763949923</c:v>
                </c:pt>
                <c:pt idx="965">
                  <c:v>-9.0827481702498609</c:v>
                </c:pt>
                <c:pt idx="966">
                  <c:v>-9.0933088593181726</c:v>
                </c:pt>
                <c:pt idx="967">
                  <c:v>-9.1038695435999113</c:v>
                </c:pt>
                <c:pt idx="968">
                  <c:v>-9.1144302230950629</c:v>
                </c:pt>
                <c:pt idx="969">
                  <c:v>-9.1249908978036114</c:v>
                </c:pt>
                <c:pt idx="970">
                  <c:v>-9.1355515677255426</c:v>
                </c:pt>
                <c:pt idx="971">
                  <c:v>-9.1461122328608404</c:v>
                </c:pt>
                <c:pt idx="972">
                  <c:v>-9.156672893209489</c:v>
                </c:pt>
                <c:pt idx="973">
                  <c:v>-9.167233548771474</c:v>
                </c:pt>
                <c:pt idx="974">
                  <c:v>-9.1777941995467813</c:v>
                </c:pt>
                <c:pt idx="975">
                  <c:v>-9.1883548455353932</c:v>
                </c:pt>
                <c:pt idx="976">
                  <c:v>-9.1989154867372971</c:v>
                </c:pt>
                <c:pt idx="977">
                  <c:v>-9.2094761231524753</c:v>
                </c:pt>
                <c:pt idx="978">
                  <c:v>-9.2200367547809137</c:v>
                </c:pt>
                <c:pt idx="979">
                  <c:v>-9.2305973816225979</c:v>
                </c:pt>
                <c:pt idx="980">
                  <c:v>-9.2411580036775121</c:v>
                </c:pt>
                <c:pt idx="981">
                  <c:v>-9.2517186209456419</c:v>
                </c:pt>
                <c:pt idx="982">
                  <c:v>-9.2622792334269715</c:v>
                </c:pt>
                <c:pt idx="983">
                  <c:v>-9.2728398411214847</c:v>
                </c:pt>
                <c:pt idx="984">
                  <c:v>-9.2834004440291675</c:v>
                </c:pt>
                <c:pt idx="985">
                  <c:v>-9.2939610421500038</c:v>
                </c:pt>
                <c:pt idx="986">
                  <c:v>-9.3045216354839795</c:v>
                </c:pt>
                <c:pt idx="987">
                  <c:v>-9.3150822240310784</c:v>
                </c:pt>
                <c:pt idx="988">
                  <c:v>-9.3256428077912865</c:v>
                </c:pt>
                <c:pt idx="989">
                  <c:v>-9.3362033867645877</c:v>
                </c:pt>
                <c:pt idx="990">
                  <c:v>-9.3467639609509678</c:v>
                </c:pt>
                <c:pt idx="991">
                  <c:v>-9.3573245303504109</c:v>
                </c:pt>
                <c:pt idx="992">
                  <c:v>-9.3678850949629009</c:v>
                </c:pt>
                <c:pt idx="993">
                  <c:v>-9.3784456547884236</c:v>
                </c:pt>
                <c:pt idx="994">
                  <c:v>-9.3890062098269631</c:v>
                </c:pt>
                <c:pt idx="995">
                  <c:v>-9.3995667600785051</c:v>
                </c:pt>
                <c:pt idx="996">
                  <c:v>-9.4101273055430337</c:v>
                </c:pt>
                <c:pt idx="997">
                  <c:v>-9.4206878462205346</c:v>
                </c:pt>
                <c:pt idx="998">
                  <c:v>-9.4312483821109918</c:v>
                </c:pt>
                <c:pt idx="999">
                  <c:v>-9.4418089132143912</c:v>
                </c:pt>
                <c:pt idx="1000">
                  <c:v>-9.4523694395307167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1-4567-B7A1-067915120221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23</c:v>
                </c:pt>
                <c:pt idx="1">
                  <c:v>159.13270189532119</c:v>
                </c:pt>
                <c:pt idx="2">
                  <c:v>295.26540379064238</c:v>
                </c:pt>
                <c:pt idx="3">
                  <c:v>292.81720071059101</c:v>
                </c:pt>
                <c:pt idx="4">
                  <c:v>295.26540379064238</c:v>
                </c:pt>
                <c:pt idx="5">
                  <c:v>287.01720071059094</c:v>
                </c:pt>
                <c:pt idx="6">
                  <c:v>295.26540379064238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2970.9971417443212</c:v>
                </c:pt>
                <c:pt idx="1">
                  <c:v>1485.4985708721606</c:v>
                </c:pt>
                <c:pt idx="2">
                  <c:v>0</c:v>
                </c:pt>
                <c:pt idx="3">
                  <c:v>85.296211240808077</c:v>
                </c:pt>
                <c:pt idx="4">
                  <c:v>0</c:v>
                </c:pt>
                <c:pt idx="5">
                  <c:v>31.463783399328669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51-4567-B7A1-067915120221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1-4567-B7A1-0679151202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51-4567-B7A1-067915120221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51-4567-B7A1-067915120221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5.75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1485.4985708721606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51-4567-B7A1-067915120221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40.700000000000294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1485.999438104004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51-4567-B7A1-06791512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5008"/>
        <c:axId val="149276928"/>
      </c:scatterChart>
      <c:valAx>
        <c:axId val="149275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42"/>
              <c:y val="0.851393056999950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6928"/>
        <c:crosses val="autoZero"/>
        <c:crossBetween val="midCat"/>
      </c:valAx>
      <c:valAx>
        <c:axId val="149276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15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27500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62.499999999987566</c:v>
                </c:pt>
                <c:pt idx="2">
                  <c:v>187.49999999998491</c:v>
                </c:pt>
                <c:pt idx="3">
                  <c:v>240.00000000000284</c:v>
                </c:pt>
                <c:pt idx="4">
                  <c:v>220.00000000000327</c:v>
                </c:pt>
                <c:pt idx="5">
                  <c:v>209.56896551724154</c:v>
                </c:pt>
                <c:pt idx="6">
                  <c:v>208.70689655172433</c:v>
                </c:pt>
                <c:pt idx="7">
                  <c:v>207.84482758620709</c:v>
                </c:pt>
                <c:pt idx="8">
                  <c:v>206.98275862068988</c:v>
                </c:pt>
                <c:pt idx="9">
                  <c:v>206.12068965517264</c:v>
                </c:pt>
                <c:pt idx="10">
                  <c:v>205.25862068965543</c:v>
                </c:pt>
                <c:pt idx="11">
                  <c:v>204.39655172413819</c:v>
                </c:pt>
                <c:pt idx="12">
                  <c:v>203.53448275862098</c:v>
                </c:pt>
                <c:pt idx="13">
                  <c:v>202.67241379310374</c:v>
                </c:pt>
                <c:pt idx="14">
                  <c:v>201.81034482758653</c:v>
                </c:pt>
                <c:pt idx="15">
                  <c:v>200.94827586206929</c:v>
                </c:pt>
                <c:pt idx="16">
                  <c:v>200.08620689655208</c:v>
                </c:pt>
                <c:pt idx="17">
                  <c:v>199.22413793103487</c:v>
                </c:pt>
                <c:pt idx="18">
                  <c:v>198.36206896551764</c:v>
                </c:pt>
                <c:pt idx="19">
                  <c:v>197.50000000000043</c:v>
                </c:pt>
                <c:pt idx="20">
                  <c:v>196.63793103448319</c:v>
                </c:pt>
                <c:pt idx="21">
                  <c:v>195.77586206896598</c:v>
                </c:pt>
                <c:pt idx="22">
                  <c:v>194.91379310344874</c:v>
                </c:pt>
                <c:pt idx="23">
                  <c:v>194.05172413793153</c:v>
                </c:pt>
                <c:pt idx="24">
                  <c:v>193.18965517241429</c:v>
                </c:pt>
                <c:pt idx="25">
                  <c:v>192.32758620689708</c:v>
                </c:pt>
                <c:pt idx="26">
                  <c:v>191.46551724137987</c:v>
                </c:pt>
                <c:pt idx="27">
                  <c:v>190.60344827586263</c:v>
                </c:pt>
                <c:pt idx="28">
                  <c:v>189.74137931034539</c:v>
                </c:pt>
                <c:pt idx="29">
                  <c:v>188.87931034482818</c:v>
                </c:pt>
                <c:pt idx="30">
                  <c:v>188.01724137931097</c:v>
                </c:pt>
                <c:pt idx="31">
                  <c:v>187.15517241379374</c:v>
                </c:pt>
                <c:pt idx="32">
                  <c:v>186.29310344827653</c:v>
                </c:pt>
                <c:pt idx="33">
                  <c:v>185.43103448275929</c:v>
                </c:pt>
                <c:pt idx="34">
                  <c:v>184.56896551724208</c:v>
                </c:pt>
                <c:pt idx="35">
                  <c:v>183.70689655172484</c:v>
                </c:pt>
                <c:pt idx="36">
                  <c:v>182.84482758620763</c:v>
                </c:pt>
                <c:pt idx="37">
                  <c:v>181.98275862069039</c:v>
                </c:pt>
                <c:pt idx="38">
                  <c:v>181.12068965517318</c:v>
                </c:pt>
                <c:pt idx="39">
                  <c:v>180.25862068965594</c:v>
                </c:pt>
                <c:pt idx="40">
                  <c:v>179.39655172413873</c:v>
                </c:pt>
                <c:pt idx="41">
                  <c:v>178.53448275862149</c:v>
                </c:pt>
                <c:pt idx="42">
                  <c:v>177.67241379310428</c:v>
                </c:pt>
                <c:pt idx="43">
                  <c:v>176.81034482758707</c:v>
                </c:pt>
                <c:pt idx="44">
                  <c:v>175.94827586206983</c:v>
                </c:pt>
                <c:pt idx="45">
                  <c:v>175.08620689655262</c:v>
                </c:pt>
                <c:pt idx="46">
                  <c:v>174.22413793103539</c:v>
                </c:pt>
                <c:pt idx="47">
                  <c:v>173.36206896551818</c:v>
                </c:pt>
                <c:pt idx="48">
                  <c:v>172.50000000000094</c:v>
                </c:pt>
                <c:pt idx="49">
                  <c:v>171.63793103448373</c:v>
                </c:pt>
                <c:pt idx="50">
                  <c:v>170.77586206896649</c:v>
                </c:pt>
                <c:pt idx="51">
                  <c:v>169.91379310344928</c:v>
                </c:pt>
                <c:pt idx="52">
                  <c:v>169.05172413793207</c:v>
                </c:pt>
                <c:pt idx="53">
                  <c:v>168.18965517241483</c:v>
                </c:pt>
                <c:pt idx="54">
                  <c:v>167.32758620689759</c:v>
                </c:pt>
                <c:pt idx="55">
                  <c:v>166.46551724138038</c:v>
                </c:pt>
                <c:pt idx="56">
                  <c:v>165.60344827586317</c:v>
                </c:pt>
                <c:pt idx="57">
                  <c:v>164.74137931034593</c:v>
                </c:pt>
                <c:pt idx="58">
                  <c:v>163.87931034482872</c:v>
                </c:pt>
                <c:pt idx="59">
                  <c:v>163.01724137931149</c:v>
                </c:pt>
                <c:pt idx="60">
                  <c:v>162.15517241379428</c:v>
                </c:pt>
                <c:pt idx="61">
                  <c:v>161.29310344827707</c:v>
                </c:pt>
                <c:pt idx="62">
                  <c:v>160.43103448275983</c:v>
                </c:pt>
                <c:pt idx="63">
                  <c:v>158.75000000000355</c:v>
                </c:pt>
                <c:pt idx="64">
                  <c:v>156.25000000000361</c:v>
                </c:pt>
                <c:pt idx="65">
                  <c:v>153.75000000000367</c:v>
                </c:pt>
                <c:pt idx="66">
                  <c:v>151.25000000000372</c:v>
                </c:pt>
                <c:pt idx="67">
                  <c:v>148.00000000000603</c:v>
                </c:pt>
                <c:pt idx="68">
                  <c:v>144.00000000000614</c:v>
                </c:pt>
                <c:pt idx="69">
                  <c:v>138.66666666667703</c:v>
                </c:pt>
                <c:pt idx="70">
                  <c:v>132.00000000001049</c:v>
                </c:pt>
                <c:pt idx="71">
                  <c:v>125.33333333334397</c:v>
                </c:pt>
                <c:pt idx="72">
                  <c:v>118.66666666667746</c:v>
                </c:pt>
                <c:pt idx="73">
                  <c:v>112.00000000001093</c:v>
                </c:pt>
                <c:pt idx="74">
                  <c:v>105.3333333333444</c:v>
                </c:pt>
                <c:pt idx="75">
                  <c:v>98.666666666677884</c:v>
                </c:pt>
                <c:pt idx="76">
                  <c:v>92.00000000001134</c:v>
                </c:pt>
                <c:pt idx="77">
                  <c:v>85.333333333344825</c:v>
                </c:pt>
                <c:pt idx="78">
                  <c:v>78.666666666678296</c:v>
                </c:pt>
                <c:pt idx="79">
                  <c:v>72.000000000011767</c:v>
                </c:pt>
                <c:pt idx="80">
                  <c:v>65.333333333345252</c:v>
                </c:pt>
                <c:pt idx="81">
                  <c:v>60.250000000006331</c:v>
                </c:pt>
                <c:pt idx="82">
                  <c:v>56.750000000006395</c:v>
                </c:pt>
                <c:pt idx="83">
                  <c:v>53.250000000006466</c:v>
                </c:pt>
                <c:pt idx="84">
                  <c:v>49.75000000000653</c:v>
                </c:pt>
                <c:pt idx="85">
                  <c:v>46.250000000006608</c:v>
                </c:pt>
                <c:pt idx="86">
                  <c:v>42.750000000006686</c:v>
                </c:pt>
                <c:pt idx="87">
                  <c:v>39.250000000006764</c:v>
                </c:pt>
                <c:pt idx="88">
                  <c:v>35.750000000006835</c:v>
                </c:pt>
                <c:pt idx="89">
                  <c:v>32.750000000004938</c:v>
                </c:pt>
                <c:pt idx="90">
                  <c:v>30.250000000004995</c:v>
                </c:pt>
                <c:pt idx="91">
                  <c:v>27.750000000005052</c:v>
                </c:pt>
                <c:pt idx="92">
                  <c:v>25.250000000005109</c:v>
                </c:pt>
                <c:pt idx="93">
                  <c:v>22.875000000004643</c:v>
                </c:pt>
                <c:pt idx="94">
                  <c:v>20.625000000004686</c:v>
                </c:pt>
                <c:pt idx="95">
                  <c:v>18.375000000004732</c:v>
                </c:pt>
                <c:pt idx="96">
                  <c:v>16.125000000004775</c:v>
                </c:pt>
                <c:pt idx="97">
                  <c:v>14.375000000002679</c:v>
                </c:pt>
                <c:pt idx="98">
                  <c:v>13.125000000002707</c:v>
                </c:pt>
                <c:pt idx="99">
                  <c:v>11.875000000002734</c:v>
                </c:pt>
                <c:pt idx="100">
                  <c:v>10.62500000000276</c:v>
                </c:pt>
                <c:pt idx="101">
                  <c:v>9.3750000000027889</c:v>
                </c:pt>
                <c:pt idx="102">
                  <c:v>8.1250000000028173</c:v>
                </c:pt>
                <c:pt idx="103">
                  <c:v>6.8750000000028448</c:v>
                </c:pt>
                <c:pt idx="104">
                  <c:v>5.6250000000028724</c:v>
                </c:pt>
                <c:pt idx="105">
                  <c:v>4.3750000000029008</c:v>
                </c:pt>
                <c:pt idx="106">
                  <c:v>3.1250000000029283</c:v>
                </c:pt>
                <c:pt idx="107">
                  <c:v>1.8750000000029559</c:v>
                </c:pt>
                <c:pt idx="108">
                  <c:v>0.62500000000298428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8D6-934B-5D8E0316888E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18.245619000000001</c:v>
                </c:pt>
                <c:pt idx="1">
                  <c:v>18.242364840353833</c:v>
                </c:pt>
                <c:pt idx="2">
                  <c:v>18.232602361415331</c:v>
                </c:pt>
                <c:pt idx="3">
                  <c:v>18.220106388374052</c:v>
                </c:pt>
                <c:pt idx="4">
                  <c:v>18.208651746419545</c:v>
                </c:pt>
                <c:pt idx="5">
                  <c:v>18.197740212488743</c:v>
                </c:pt>
                <c:pt idx="6">
                  <c:v>18.186873563518578</c:v>
                </c:pt>
                <c:pt idx="7">
                  <c:v>18.17605179950905</c:v>
                </c:pt>
                <c:pt idx="8">
                  <c:v>18.16527492046016</c:v>
                </c:pt>
                <c:pt idx="9">
                  <c:v>18.154542926371903</c:v>
                </c:pt>
                <c:pt idx="10">
                  <c:v>18.143855817244287</c:v>
                </c:pt>
                <c:pt idx="11">
                  <c:v>18.133213593077304</c:v>
                </c:pt>
                <c:pt idx="12">
                  <c:v>18.122616253870962</c:v>
                </c:pt>
                <c:pt idx="13">
                  <c:v>18.112063799625254</c:v>
                </c:pt>
                <c:pt idx="14">
                  <c:v>18.101556230340183</c:v>
                </c:pt>
                <c:pt idx="15">
                  <c:v>18.091093546015749</c:v>
                </c:pt>
                <c:pt idx="16">
                  <c:v>18.080675746651952</c:v>
                </c:pt>
                <c:pt idx="17">
                  <c:v>18.070302832248789</c:v>
                </c:pt>
                <c:pt idx="18">
                  <c:v>18.059974802806266</c:v>
                </c:pt>
                <c:pt idx="19">
                  <c:v>18.049691658324377</c:v>
                </c:pt>
                <c:pt idx="20">
                  <c:v>18.039453398803129</c:v>
                </c:pt>
                <c:pt idx="21">
                  <c:v>18.029260024242515</c:v>
                </c:pt>
                <c:pt idx="22">
                  <c:v>18.019111534642537</c:v>
                </c:pt>
                <c:pt idx="23">
                  <c:v>18.009007930003197</c:v>
                </c:pt>
                <c:pt idx="24">
                  <c:v>17.998949210324493</c:v>
                </c:pt>
                <c:pt idx="25">
                  <c:v>17.988935375606427</c:v>
                </c:pt>
                <c:pt idx="26">
                  <c:v>17.978966425848999</c:v>
                </c:pt>
                <c:pt idx="27">
                  <c:v>17.969042361052207</c:v>
                </c:pt>
                <c:pt idx="28">
                  <c:v>17.959163181216049</c:v>
                </c:pt>
                <c:pt idx="29">
                  <c:v>17.949328886340531</c:v>
                </c:pt>
                <c:pt idx="30">
                  <c:v>17.939539476425647</c:v>
                </c:pt>
                <c:pt idx="31">
                  <c:v>17.929794951471401</c:v>
                </c:pt>
                <c:pt idx="32">
                  <c:v>17.920095311477791</c:v>
                </c:pt>
                <c:pt idx="33">
                  <c:v>17.910440556444819</c:v>
                </c:pt>
                <c:pt idx="34">
                  <c:v>17.900830686372483</c:v>
                </c:pt>
                <c:pt idx="35">
                  <c:v>17.891265701260785</c:v>
                </c:pt>
                <c:pt idx="36">
                  <c:v>17.881745601109724</c:v>
                </c:pt>
                <c:pt idx="37">
                  <c:v>17.872270385919297</c:v>
                </c:pt>
                <c:pt idx="38">
                  <c:v>17.86284005568951</c:v>
                </c:pt>
                <c:pt idx="39">
                  <c:v>17.853454610420357</c:v>
                </c:pt>
                <c:pt idx="40">
                  <c:v>17.844114050111841</c:v>
                </c:pt>
                <c:pt idx="41">
                  <c:v>17.834818374763962</c:v>
                </c:pt>
                <c:pt idx="42">
                  <c:v>17.825567584376721</c:v>
                </c:pt>
                <c:pt idx="43">
                  <c:v>17.816361678950116</c:v>
                </c:pt>
                <c:pt idx="44">
                  <c:v>17.807200658484149</c:v>
                </c:pt>
                <c:pt idx="45">
                  <c:v>17.798084522978819</c:v>
                </c:pt>
                <c:pt idx="46">
                  <c:v>17.789013272434122</c:v>
                </c:pt>
                <c:pt idx="47">
                  <c:v>17.779986906850066</c:v>
                </c:pt>
                <c:pt idx="48">
                  <c:v>17.771005426226644</c:v>
                </c:pt>
                <c:pt idx="49">
                  <c:v>17.762068830563859</c:v>
                </c:pt>
                <c:pt idx="50">
                  <c:v>17.753177119861714</c:v>
                </c:pt>
                <c:pt idx="51">
                  <c:v>17.744330294120203</c:v>
                </c:pt>
                <c:pt idx="52">
                  <c:v>17.735528353339326</c:v>
                </c:pt>
                <c:pt idx="53">
                  <c:v>17.72677129751909</c:v>
                </c:pt>
                <c:pt idx="54">
                  <c:v>17.71805912665949</c:v>
                </c:pt>
                <c:pt idx="55">
                  <c:v>17.709391840760528</c:v>
                </c:pt>
                <c:pt idx="56">
                  <c:v>17.700769439822199</c:v>
                </c:pt>
                <c:pt idx="57">
                  <c:v>17.692191923844508</c:v>
                </c:pt>
                <c:pt idx="58">
                  <c:v>17.683659292827457</c:v>
                </c:pt>
                <c:pt idx="59">
                  <c:v>17.67517154677104</c:v>
                </c:pt>
                <c:pt idx="60">
                  <c:v>17.66672868567526</c:v>
                </c:pt>
                <c:pt idx="61">
                  <c:v>17.658330709540117</c:v>
                </c:pt>
                <c:pt idx="62">
                  <c:v>17.649977618365611</c:v>
                </c:pt>
                <c:pt idx="63">
                  <c:v>17.641712052864346</c:v>
                </c:pt>
                <c:pt idx="64">
                  <c:v>17.633576653748928</c:v>
                </c:pt>
                <c:pt idx="65">
                  <c:v>17.625571421019359</c:v>
                </c:pt>
                <c:pt idx="66">
                  <c:v>17.617696354675633</c:v>
                </c:pt>
                <c:pt idx="67">
                  <c:v>17.609990504633512</c:v>
                </c:pt>
                <c:pt idx="68">
                  <c:v>17.602492920808743</c:v>
                </c:pt>
                <c:pt idx="69">
                  <c:v>17.59527302527378</c:v>
                </c:pt>
                <c:pt idx="70">
                  <c:v>17.588400240101073</c:v>
                </c:pt>
                <c:pt idx="71">
                  <c:v>17.581874565290626</c:v>
                </c:pt>
                <c:pt idx="72">
                  <c:v>17.575696000842438</c:v>
                </c:pt>
                <c:pt idx="73">
                  <c:v>17.569864546756506</c:v>
                </c:pt>
                <c:pt idx="74">
                  <c:v>17.56438020303283</c:v>
                </c:pt>
                <c:pt idx="75">
                  <c:v>17.559242969671413</c:v>
                </c:pt>
                <c:pt idx="76">
                  <c:v>17.554452846672255</c:v>
                </c:pt>
                <c:pt idx="77">
                  <c:v>17.550009834035357</c:v>
                </c:pt>
                <c:pt idx="78">
                  <c:v>17.545913931760715</c:v>
                </c:pt>
                <c:pt idx="79">
                  <c:v>17.542165139848333</c:v>
                </c:pt>
                <c:pt idx="80">
                  <c:v>17.538763458298206</c:v>
                </c:pt>
                <c:pt idx="81">
                  <c:v>17.535626448399299</c:v>
                </c:pt>
                <c:pt idx="82">
                  <c:v>17.532671671440578</c:v>
                </c:pt>
                <c:pt idx="83">
                  <c:v>17.529899127422045</c:v>
                </c:pt>
                <c:pt idx="84">
                  <c:v>17.527308816343695</c:v>
                </c:pt>
                <c:pt idx="85">
                  <c:v>17.524900738205531</c:v>
                </c:pt>
                <c:pt idx="86">
                  <c:v>17.522674893007554</c:v>
                </c:pt>
                <c:pt idx="87">
                  <c:v>17.520631280749761</c:v>
                </c:pt>
                <c:pt idx="88">
                  <c:v>17.518769901432155</c:v>
                </c:pt>
                <c:pt idx="89">
                  <c:v>17.517064721777562</c:v>
                </c:pt>
                <c:pt idx="90">
                  <c:v>17.515489708508817</c:v>
                </c:pt>
                <c:pt idx="91">
                  <c:v>17.514044861625919</c:v>
                </c:pt>
                <c:pt idx="92">
                  <c:v>17.512730181128866</c:v>
                </c:pt>
                <c:pt idx="93">
                  <c:v>17.511539158698369</c:v>
                </c:pt>
                <c:pt idx="94">
                  <c:v>17.510465286015133</c:v>
                </c:pt>
                <c:pt idx="95">
                  <c:v>17.509508563079162</c:v>
                </c:pt>
                <c:pt idx="96">
                  <c:v>17.508668989890449</c:v>
                </c:pt>
                <c:pt idx="97">
                  <c:v>17.507920533171831</c:v>
                </c:pt>
                <c:pt idx="98">
                  <c:v>17.507237159646138</c:v>
                </c:pt>
                <c:pt idx="99">
                  <c:v>17.506618869313364</c:v>
                </c:pt>
                <c:pt idx="100">
                  <c:v>17.506065662173516</c:v>
                </c:pt>
                <c:pt idx="101">
                  <c:v>17.505577538226589</c:v>
                </c:pt>
                <c:pt idx="102">
                  <c:v>17.505154497472589</c:v>
                </c:pt>
                <c:pt idx="103">
                  <c:v>17.50479653991151</c:v>
                </c:pt>
                <c:pt idx="104">
                  <c:v>17.504503665543353</c:v>
                </c:pt>
                <c:pt idx="105">
                  <c:v>17.504275874368123</c:v>
                </c:pt>
                <c:pt idx="106">
                  <c:v>17.504113166385814</c:v>
                </c:pt>
                <c:pt idx="107">
                  <c:v>17.504015541596427</c:v>
                </c:pt>
                <c:pt idx="108">
                  <c:v>17.503982999999966</c:v>
                </c:pt>
                <c:pt idx="109">
                  <c:v>17.503982999999966</c:v>
                </c:pt>
                <c:pt idx="110">
                  <c:v>17.503982999999966</c:v>
                </c:pt>
                <c:pt idx="111">
                  <c:v>17.503982999999966</c:v>
                </c:pt>
                <c:pt idx="112">
                  <c:v>17.503982999999966</c:v>
                </c:pt>
                <c:pt idx="113">
                  <c:v>17.503982999999966</c:v>
                </c:pt>
                <c:pt idx="114">
                  <c:v>17.503982999999966</c:v>
                </c:pt>
                <c:pt idx="115">
                  <c:v>17.503982999999966</c:v>
                </c:pt>
                <c:pt idx="116">
                  <c:v>17.503982999999966</c:v>
                </c:pt>
                <c:pt idx="117">
                  <c:v>17.503982999999966</c:v>
                </c:pt>
                <c:pt idx="118">
                  <c:v>17.503982999999966</c:v>
                </c:pt>
                <c:pt idx="119">
                  <c:v>17.503982999999966</c:v>
                </c:pt>
                <c:pt idx="120">
                  <c:v>17.503982999999966</c:v>
                </c:pt>
                <c:pt idx="121">
                  <c:v>17.503982999999966</c:v>
                </c:pt>
                <c:pt idx="122">
                  <c:v>17.503982999999966</c:v>
                </c:pt>
                <c:pt idx="123">
                  <c:v>17.503982999999966</c:v>
                </c:pt>
                <c:pt idx="124">
                  <c:v>17.503982999999966</c:v>
                </c:pt>
                <c:pt idx="125">
                  <c:v>17.503982999999966</c:v>
                </c:pt>
                <c:pt idx="126">
                  <c:v>17.503982999999966</c:v>
                </c:pt>
                <c:pt idx="127">
                  <c:v>17.503982999999966</c:v>
                </c:pt>
                <c:pt idx="128">
                  <c:v>17.503982999999966</c:v>
                </c:pt>
                <c:pt idx="129">
                  <c:v>17.503982999999966</c:v>
                </c:pt>
                <c:pt idx="130">
                  <c:v>17.503982999999966</c:v>
                </c:pt>
                <c:pt idx="131">
                  <c:v>17.503982999999966</c:v>
                </c:pt>
                <c:pt idx="132">
                  <c:v>17.503982999999966</c:v>
                </c:pt>
                <c:pt idx="133">
                  <c:v>17.503982999999966</c:v>
                </c:pt>
                <c:pt idx="134">
                  <c:v>17.503982999999966</c:v>
                </c:pt>
                <c:pt idx="135">
                  <c:v>17.503982999999966</c:v>
                </c:pt>
                <c:pt idx="136">
                  <c:v>17.503982999999966</c:v>
                </c:pt>
                <c:pt idx="137">
                  <c:v>17.503982999999966</c:v>
                </c:pt>
                <c:pt idx="138">
                  <c:v>17.503982999999966</c:v>
                </c:pt>
                <c:pt idx="139">
                  <c:v>17.503982999999966</c:v>
                </c:pt>
                <c:pt idx="140">
                  <c:v>17.503982999999966</c:v>
                </c:pt>
                <c:pt idx="141">
                  <c:v>17.503982999999966</c:v>
                </c:pt>
                <c:pt idx="142">
                  <c:v>17.503982999999966</c:v>
                </c:pt>
                <c:pt idx="143">
                  <c:v>17.503982999999966</c:v>
                </c:pt>
                <c:pt idx="144">
                  <c:v>17.503982999999966</c:v>
                </c:pt>
                <c:pt idx="145">
                  <c:v>17.503982999999966</c:v>
                </c:pt>
                <c:pt idx="146">
                  <c:v>17.503982999999966</c:v>
                </c:pt>
                <c:pt idx="147">
                  <c:v>17.503982999999966</c:v>
                </c:pt>
                <c:pt idx="148">
                  <c:v>17.503982999999966</c:v>
                </c:pt>
                <c:pt idx="149">
                  <c:v>17.503982999999966</c:v>
                </c:pt>
                <c:pt idx="150">
                  <c:v>17.503982999999966</c:v>
                </c:pt>
                <c:pt idx="151">
                  <c:v>17.503982999999966</c:v>
                </c:pt>
                <c:pt idx="152">
                  <c:v>17.503982999999966</c:v>
                </c:pt>
                <c:pt idx="153">
                  <c:v>17.503982999999966</c:v>
                </c:pt>
                <c:pt idx="154">
                  <c:v>17.503982999999966</c:v>
                </c:pt>
                <c:pt idx="155">
                  <c:v>17.503982999999966</c:v>
                </c:pt>
                <c:pt idx="156">
                  <c:v>17.503982999999966</c:v>
                </c:pt>
                <c:pt idx="157">
                  <c:v>17.503982999999966</c:v>
                </c:pt>
                <c:pt idx="158">
                  <c:v>17.503982999999966</c:v>
                </c:pt>
                <c:pt idx="159">
                  <c:v>17.503982999999966</c:v>
                </c:pt>
                <c:pt idx="160">
                  <c:v>17.503982999999966</c:v>
                </c:pt>
                <c:pt idx="161">
                  <c:v>17.503982999999966</c:v>
                </c:pt>
                <c:pt idx="162">
                  <c:v>17.503982999999966</c:v>
                </c:pt>
                <c:pt idx="163">
                  <c:v>17.503982999999966</c:v>
                </c:pt>
                <c:pt idx="164">
                  <c:v>17.503982999999966</c:v>
                </c:pt>
                <c:pt idx="165">
                  <c:v>17.503982999999966</c:v>
                </c:pt>
                <c:pt idx="166">
                  <c:v>17.503982999999966</c:v>
                </c:pt>
                <c:pt idx="167">
                  <c:v>17.503982999999966</c:v>
                </c:pt>
                <c:pt idx="168">
                  <c:v>17.503982999999966</c:v>
                </c:pt>
                <c:pt idx="169">
                  <c:v>17.503982999999966</c:v>
                </c:pt>
                <c:pt idx="170">
                  <c:v>17.503982999999966</c:v>
                </c:pt>
                <c:pt idx="171">
                  <c:v>17.503982999999966</c:v>
                </c:pt>
                <c:pt idx="172">
                  <c:v>17.503982999999966</c:v>
                </c:pt>
                <c:pt idx="173">
                  <c:v>17.503982999999966</c:v>
                </c:pt>
                <c:pt idx="174">
                  <c:v>17.503982999999966</c:v>
                </c:pt>
                <c:pt idx="175">
                  <c:v>17.503982999999966</c:v>
                </c:pt>
                <c:pt idx="176">
                  <c:v>17.503982999999966</c:v>
                </c:pt>
                <c:pt idx="177">
                  <c:v>17.503982999999966</c:v>
                </c:pt>
                <c:pt idx="178">
                  <c:v>17.503982999999966</c:v>
                </c:pt>
                <c:pt idx="179">
                  <c:v>17.503982999999966</c:v>
                </c:pt>
                <c:pt idx="180">
                  <c:v>17.503982999999966</c:v>
                </c:pt>
                <c:pt idx="181">
                  <c:v>17.503982999999966</c:v>
                </c:pt>
                <c:pt idx="182">
                  <c:v>17.503982999999966</c:v>
                </c:pt>
                <c:pt idx="183">
                  <c:v>17.503982999999966</c:v>
                </c:pt>
                <c:pt idx="184">
                  <c:v>17.503982999999966</c:v>
                </c:pt>
                <c:pt idx="185">
                  <c:v>17.503982999999966</c:v>
                </c:pt>
                <c:pt idx="186">
                  <c:v>17.503982999999966</c:v>
                </c:pt>
                <c:pt idx="187">
                  <c:v>17.503982999999966</c:v>
                </c:pt>
                <c:pt idx="188">
                  <c:v>17.503982999999966</c:v>
                </c:pt>
                <c:pt idx="189">
                  <c:v>17.503982999999966</c:v>
                </c:pt>
                <c:pt idx="190">
                  <c:v>17.503982999999966</c:v>
                </c:pt>
                <c:pt idx="191">
                  <c:v>17.503982999999966</c:v>
                </c:pt>
                <c:pt idx="192">
                  <c:v>17.503982999999966</c:v>
                </c:pt>
                <c:pt idx="193">
                  <c:v>17.503982999999966</c:v>
                </c:pt>
                <c:pt idx="194">
                  <c:v>17.503982999999966</c:v>
                </c:pt>
                <c:pt idx="195">
                  <c:v>17.503982999999966</c:v>
                </c:pt>
                <c:pt idx="196">
                  <c:v>17.503982999999966</c:v>
                </c:pt>
                <c:pt idx="197">
                  <c:v>17.503982999999966</c:v>
                </c:pt>
                <c:pt idx="198">
                  <c:v>17.503982999999966</c:v>
                </c:pt>
                <c:pt idx="199">
                  <c:v>17.503982999999966</c:v>
                </c:pt>
                <c:pt idx="200">
                  <c:v>17.503982999999966</c:v>
                </c:pt>
                <c:pt idx="201">
                  <c:v>17.503982999999966</c:v>
                </c:pt>
                <c:pt idx="202">
                  <c:v>17.503982999999966</c:v>
                </c:pt>
                <c:pt idx="203">
                  <c:v>17.503982999999966</c:v>
                </c:pt>
                <c:pt idx="204">
                  <c:v>17.503982999999966</c:v>
                </c:pt>
                <c:pt idx="205">
                  <c:v>17.503982999999966</c:v>
                </c:pt>
                <c:pt idx="206">
                  <c:v>17.503982999999966</c:v>
                </c:pt>
                <c:pt idx="207">
                  <c:v>17.503982999999966</c:v>
                </c:pt>
                <c:pt idx="208">
                  <c:v>17.503982999999966</c:v>
                </c:pt>
                <c:pt idx="209">
                  <c:v>17.503982999999966</c:v>
                </c:pt>
                <c:pt idx="210">
                  <c:v>17.503982999999966</c:v>
                </c:pt>
                <c:pt idx="211">
                  <c:v>17.503982999999966</c:v>
                </c:pt>
                <c:pt idx="212">
                  <c:v>17.503982999999966</c:v>
                </c:pt>
                <c:pt idx="213">
                  <c:v>17.503982999999966</c:v>
                </c:pt>
                <c:pt idx="214">
                  <c:v>17.503982999999966</c:v>
                </c:pt>
                <c:pt idx="215">
                  <c:v>17.503982999999966</c:v>
                </c:pt>
                <c:pt idx="216">
                  <c:v>17.503982999999966</c:v>
                </c:pt>
                <c:pt idx="217">
                  <c:v>17.503982999999966</c:v>
                </c:pt>
                <c:pt idx="218">
                  <c:v>17.503982999999966</c:v>
                </c:pt>
                <c:pt idx="219">
                  <c:v>17.503982999999966</c:v>
                </c:pt>
                <c:pt idx="220">
                  <c:v>17.503982999999966</c:v>
                </c:pt>
                <c:pt idx="221">
                  <c:v>17.503982999999966</c:v>
                </c:pt>
                <c:pt idx="222">
                  <c:v>17.503982999999966</c:v>
                </c:pt>
                <c:pt idx="223">
                  <c:v>17.503982999999966</c:v>
                </c:pt>
                <c:pt idx="224">
                  <c:v>17.503982999999966</c:v>
                </c:pt>
                <c:pt idx="225">
                  <c:v>17.503982999999966</c:v>
                </c:pt>
                <c:pt idx="226">
                  <c:v>17.503982999999966</c:v>
                </c:pt>
                <c:pt idx="227">
                  <c:v>17.503982999999966</c:v>
                </c:pt>
                <c:pt idx="228">
                  <c:v>17.503982999999966</c:v>
                </c:pt>
                <c:pt idx="229">
                  <c:v>17.503982999999966</c:v>
                </c:pt>
                <c:pt idx="230">
                  <c:v>17.503982999999966</c:v>
                </c:pt>
                <c:pt idx="231">
                  <c:v>17.503982999999966</c:v>
                </c:pt>
                <c:pt idx="232">
                  <c:v>17.503982999999966</c:v>
                </c:pt>
                <c:pt idx="233">
                  <c:v>17.503982999999966</c:v>
                </c:pt>
                <c:pt idx="234">
                  <c:v>17.503982999999966</c:v>
                </c:pt>
                <c:pt idx="235">
                  <c:v>17.503982999999966</c:v>
                </c:pt>
                <c:pt idx="236">
                  <c:v>17.503982999999966</c:v>
                </c:pt>
                <c:pt idx="237">
                  <c:v>17.503982999999966</c:v>
                </c:pt>
                <c:pt idx="238">
                  <c:v>17.503982999999966</c:v>
                </c:pt>
                <c:pt idx="239">
                  <c:v>17.503982999999966</c:v>
                </c:pt>
                <c:pt idx="240">
                  <c:v>17.503982999999966</c:v>
                </c:pt>
                <c:pt idx="241">
                  <c:v>17.503982999999966</c:v>
                </c:pt>
                <c:pt idx="242">
                  <c:v>17.503982999999966</c:v>
                </c:pt>
                <c:pt idx="243">
                  <c:v>17.503982999999966</c:v>
                </c:pt>
                <c:pt idx="244">
                  <c:v>17.503982999999966</c:v>
                </c:pt>
                <c:pt idx="245">
                  <c:v>17.503982999999966</c:v>
                </c:pt>
                <c:pt idx="246">
                  <c:v>17.503982999999966</c:v>
                </c:pt>
                <c:pt idx="247">
                  <c:v>17.503982999999966</c:v>
                </c:pt>
                <c:pt idx="248">
                  <c:v>17.503982999999966</c:v>
                </c:pt>
                <c:pt idx="249">
                  <c:v>17.503982999999966</c:v>
                </c:pt>
                <c:pt idx="250">
                  <c:v>17.503982999999966</c:v>
                </c:pt>
                <c:pt idx="251">
                  <c:v>17.503982999999966</c:v>
                </c:pt>
                <c:pt idx="252">
                  <c:v>17.503982999999966</c:v>
                </c:pt>
                <c:pt idx="253">
                  <c:v>17.503982999999966</c:v>
                </c:pt>
                <c:pt idx="254">
                  <c:v>17.503982999999966</c:v>
                </c:pt>
                <c:pt idx="255">
                  <c:v>17.503982999999966</c:v>
                </c:pt>
                <c:pt idx="256">
                  <c:v>17.503982999999966</c:v>
                </c:pt>
                <c:pt idx="257">
                  <c:v>17.503982999999966</c:v>
                </c:pt>
                <c:pt idx="258">
                  <c:v>17.503982999999966</c:v>
                </c:pt>
                <c:pt idx="259">
                  <c:v>17.503982999999966</c:v>
                </c:pt>
                <c:pt idx="260">
                  <c:v>17.503982999999966</c:v>
                </c:pt>
                <c:pt idx="261">
                  <c:v>17.503982999999966</c:v>
                </c:pt>
                <c:pt idx="262">
                  <c:v>17.503982999999966</c:v>
                </c:pt>
                <c:pt idx="263">
                  <c:v>17.503982999999966</c:v>
                </c:pt>
                <c:pt idx="264">
                  <c:v>17.503982999999966</c:v>
                </c:pt>
                <c:pt idx="265">
                  <c:v>17.503982999999966</c:v>
                </c:pt>
                <c:pt idx="266">
                  <c:v>17.503982999999966</c:v>
                </c:pt>
                <c:pt idx="267">
                  <c:v>17.503982999999966</c:v>
                </c:pt>
                <c:pt idx="268">
                  <c:v>17.503982999999966</c:v>
                </c:pt>
                <c:pt idx="269">
                  <c:v>17.503982999999966</c:v>
                </c:pt>
                <c:pt idx="270">
                  <c:v>17.503982999999966</c:v>
                </c:pt>
                <c:pt idx="271">
                  <c:v>17.503982999999966</c:v>
                </c:pt>
                <c:pt idx="272">
                  <c:v>17.503982999999966</c:v>
                </c:pt>
                <c:pt idx="273">
                  <c:v>17.503982999999966</c:v>
                </c:pt>
                <c:pt idx="274">
                  <c:v>17.503982999999966</c:v>
                </c:pt>
                <c:pt idx="275">
                  <c:v>17.503982999999966</c:v>
                </c:pt>
                <c:pt idx="276">
                  <c:v>17.503982999999966</c:v>
                </c:pt>
                <c:pt idx="277">
                  <c:v>17.503982999999966</c:v>
                </c:pt>
                <c:pt idx="278">
                  <c:v>17.503982999999966</c:v>
                </c:pt>
                <c:pt idx="279">
                  <c:v>17.503982999999966</c:v>
                </c:pt>
                <c:pt idx="280">
                  <c:v>17.503982999999966</c:v>
                </c:pt>
                <c:pt idx="281">
                  <c:v>17.503982999999966</c:v>
                </c:pt>
                <c:pt idx="282">
                  <c:v>17.503982999999966</c:v>
                </c:pt>
                <c:pt idx="283">
                  <c:v>17.503982999999966</c:v>
                </c:pt>
                <c:pt idx="284">
                  <c:v>17.503982999999966</c:v>
                </c:pt>
                <c:pt idx="285">
                  <c:v>17.503982999999966</c:v>
                </c:pt>
                <c:pt idx="286">
                  <c:v>17.503982999999966</c:v>
                </c:pt>
                <c:pt idx="287">
                  <c:v>17.503982999999966</c:v>
                </c:pt>
                <c:pt idx="288">
                  <c:v>17.503982999999966</c:v>
                </c:pt>
                <c:pt idx="289">
                  <c:v>17.503982999999966</c:v>
                </c:pt>
                <c:pt idx="290">
                  <c:v>17.503982999999966</c:v>
                </c:pt>
                <c:pt idx="291">
                  <c:v>17.503982999999966</c:v>
                </c:pt>
                <c:pt idx="292">
                  <c:v>17.503982999999966</c:v>
                </c:pt>
                <c:pt idx="293">
                  <c:v>17.503982999999966</c:v>
                </c:pt>
                <c:pt idx="294">
                  <c:v>17.503982999999966</c:v>
                </c:pt>
                <c:pt idx="295">
                  <c:v>17.503982999999966</c:v>
                </c:pt>
                <c:pt idx="296">
                  <c:v>17.503982999999966</c:v>
                </c:pt>
                <c:pt idx="297">
                  <c:v>17.503982999999966</c:v>
                </c:pt>
                <c:pt idx="298">
                  <c:v>17.503982999999966</c:v>
                </c:pt>
                <c:pt idx="299">
                  <c:v>17.503982999999966</c:v>
                </c:pt>
                <c:pt idx="300">
                  <c:v>17.503982999999966</c:v>
                </c:pt>
                <c:pt idx="301">
                  <c:v>17.503982999999966</c:v>
                </c:pt>
                <c:pt idx="302">
                  <c:v>17.503982999999966</c:v>
                </c:pt>
                <c:pt idx="303">
                  <c:v>17.503982999999966</c:v>
                </c:pt>
                <c:pt idx="304">
                  <c:v>17.503982999999966</c:v>
                </c:pt>
                <c:pt idx="305">
                  <c:v>17.503982999999966</c:v>
                </c:pt>
                <c:pt idx="306">
                  <c:v>17.503982999999966</c:v>
                </c:pt>
                <c:pt idx="307">
                  <c:v>17.503982999999966</c:v>
                </c:pt>
                <c:pt idx="308">
                  <c:v>17.503982999999966</c:v>
                </c:pt>
                <c:pt idx="309">
                  <c:v>17.503982999999966</c:v>
                </c:pt>
                <c:pt idx="310">
                  <c:v>17.503982999999966</c:v>
                </c:pt>
                <c:pt idx="311">
                  <c:v>17.503982999999966</c:v>
                </c:pt>
                <c:pt idx="312">
                  <c:v>17.503982999999966</c:v>
                </c:pt>
                <c:pt idx="313">
                  <c:v>17.503982999999966</c:v>
                </c:pt>
                <c:pt idx="314">
                  <c:v>17.503982999999966</c:v>
                </c:pt>
                <c:pt idx="315">
                  <c:v>17.503982999999966</c:v>
                </c:pt>
                <c:pt idx="316">
                  <c:v>17.503982999999966</c:v>
                </c:pt>
                <c:pt idx="317">
                  <c:v>17.503982999999966</c:v>
                </c:pt>
                <c:pt idx="318">
                  <c:v>17.503982999999966</c:v>
                </c:pt>
                <c:pt idx="319">
                  <c:v>17.503982999999966</c:v>
                </c:pt>
                <c:pt idx="320">
                  <c:v>17.503982999999966</c:v>
                </c:pt>
                <c:pt idx="321">
                  <c:v>17.503982999999966</c:v>
                </c:pt>
                <c:pt idx="322">
                  <c:v>17.503982999999966</c:v>
                </c:pt>
                <c:pt idx="323">
                  <c:v>17.503982999999966</c:v>
                </c:pt>
                <c:pt idx="324">
                  <c:v>17.503982999999966</c:v>
                </c:pt>
                <c:pt idx="325">
                  <c:v>17.503982999999966</c:v>
                </c:pt>
                <c:pt idx="326">
                  <c:v>17.503982999999966</c:v>
                </c:pt>
                <c:pt idx="327">
                  <c:v>17.503982999999966</c:v>
                </c:pt>
                <c:pt idx="328">
                  <c:v>17.503982999999966</c:v>
                </c:pt>
                <c:pt idx="329">
                  <c:v>17.503982999999966</c:v>
                </c:pt>
                <c:pt idx="330">
                  <c:v>17.503982999999966</c:v>
                </c:pt>
                <c:pt idx="331">
                  <c:v>17.503982999999966</c:v>
                </c:pt>
                <c:pt idx="332">
                  <c:v>17.503982999999966</c:v>
                </c:pt>
                <c:pt idx="333">
                  <c:v>17.503982999999966</c:v>
                </c:pt>
                <c:pt idx="334">
                  <c:v>17.503982999999966</c:v>
                </c:pt>
                <c:pt idx="335">
                  <c:v>17.503982999999966</c:v>
                </c:pt>
                <c:pt idx="336">
                  <c:v>17.503982999999966</c:v>
                </c:pt>
                <c:pt idx="337">
                  <c:v>17.503982999999966</c:v>
                </c:pt>
                <c:pt idx="338">
                  <c:v>17.503982999999966</c:v>
                </c:pt>
                <c:pt idx="339">
                  <c:v>17.503982999999966</c:v>
                </c:pt>
                <c:pt idx="340">
                  <c:v>17.503982999999966</c:v>
                </c:pt>
                <c:pt idx="341">
                  <c:v>17.503982999999966</c:v>
                </c:pt>
                <c:pt idx="342">
                  <c:v>17.503982999999966</c:v>
                </c:pt>
                <c:pt idx="343">
                  <c:v>17.503982999999966</c:v>
                </c:pt>
                <c:pt idx="344">
                  <c:v>17.503982999999966</c:v>
                </c:pt>
                <c:pt idx="345">
                  <c:v>17.503982999999966</c:v>
                </c:pt>
                <c:pt idx="346">
                  <c:v>17.503982999999966</c:v>
                </c:pt>
                <c:pt idx="347">
                  <c:v>17.503982999999966</c:v>
                </c:pt>
                <c:pt idx="348">
                  <c:v>17.503982999999966</c:v>
                </c:pt>
                <c:pt idx="349">
                  <c:v>17.503982999999966</c:v>
                </c:pt>
                <c:pt idx="350">
                  <c:v>17.503982999999966</c:v>
                </c:pt>
                <c:pt idx="351">
                  <c:v>17.503982999999966</c:v>
                </c:pt>
                <c:pt idx="352">
                  <c:v>17.503982999999966</c:v>
                </c:pt>
                <c:pt idx="353">
                  <c:v>17.503982999999966</c:v>
                </c:pt>
                <c:pt idx="354">
                  <c:v>17.503982999999966</c:v>
                </c:pt>
                <c:pt idx="355">
                  <c:v>17.503982999999966</c:v>
                </c:pt>
                <c:pt idx="356">
                  <c:v>17.503982999999966</c:v>
                </c:pt>
                <c:pt idx="357">
                  <c:v>17.503982999999966</c:v>
                </c:pt>
                <c:pt idx="358">
                  <c:v>17.503982999999966</c:v>
                </c:pt>
                <c:pt idx="359">
                  <c:v>17.503982999999966</c:v>
                </c:pt>
                <c:pt idx="360">
                  <c:v>17.503982999999966</c:v>
                </c:pt>
                <c:pt idx="361">
                  <c:v>17.503982999999966</c:v>
                </c:pt>
                <c:pt idx="362">
                  <c:v>17.503982999999966</c:v>
                </c:pt>
                <c:pt idx="363">
                  <c:v>17.503982999999966</c:v>
                </c:pt>
                <c:pt idx="364">
                  <c:v>17.503982999999966</c:v>
                </c:pt>
                <c:pt idx="365">
                  <c:v>17.503982999999966</c:v>
                </c:pt>
                <c:pt idx="366">
                  <c:v>17.503982999999966</c:v>
                </c:pt>
                <c:pt idx="367">
                  <c:v>17.503982999999966</c:v>
                </c:pt>
                <c:pt idx="368">
                  <c:v>17.503982999999966</c:v>
                </c:pt>
                <c:pt idx="369">
                  <c:v>17.503982999999966</c:v>
                </c:pt>
                <c:pt idx="370">
                  <c:v>17.503982999999966</c:v>
                </c:pt>
                <c:pt idx="371">
                  <c:v>17.503982999999966</c:v>
                </c:pt>
                <c:pt idx="372">
                  <c:v>17.503982999999966</c:v>
                </c:pt>
                <c:pt idx="373">
                  <c:v>17.503982999999966</c:v>
                </c:pt>
                <c:pt idx="374">
                  <c:v>17.503982999999966</c:v>
                </c:pt>
                <c:pt idx="375">
                  <c:v>17.503982999999966</c:v>
                </c:pt>
                <c:pt idx="376">
                  <c:v>17.503982999999966</c:v>
                </c:pt>
                <c:pt idx="377">
                  <c:v>17.503982999999966</c:v>
                </c:pt>
                <c:pt idx="378">
                  <c:v>17.503982999999966</c:v>
                </c:pt>
                <c:pt idx="379">
                  <c:v>17.503982999999966</c:v>
                </c:pt>
                <c:pt idx="380">
                  <c:v>17.503982999999966</c:v>
                </c:pt>
                <c:pt idx="381">
                  <c:v>17.503982999999966</c:v>
                </c:pt>
                <c:pt idx="382">
                  <c:v>17.503982999999966</c:v>
                </c:pt>
                <c:pt idx="383">
                  <c:v>17.503982999999966</c:v>
                </c:pt>
                <c:pt idx="384">
                  <c:v>17.503982999999966</c:v>
                </c:pt>
                <c:pt idx="385">
                  <c:v>17.503982999999966</c:v>
                </c:pt>
                <c:pt idx="386">
                  <c:v>17.503982999999966</c:v>
                </c:pt>
                <c:pt idx="387">
                  <c:v>17.503982999999966</c:v>
                </c:pt>
                <c:pt idx="388">
                  <c:v>17.503982999999966</c:v>
                </c:pt>
                <c:pt idx="389">
                  <c:v>17.503982999999966</c:v>
                </c:pt>
                <c:pt idx="390">
                  <c:v>17.503982999999966</c:v>
                </c:pt>
                <c:pt idx="391">
                  <c:v>17.503982999999966</c:v>
                </c:pt>
                <c:pt idx="392">
                  <c:v>17.503982999999966</c:v>
                </c:pt>
                <c:pt idx="393">
                  <c:v>17.503982999999966</c:v>
                </c:pt>
                <c:pt idx="394">
                  <c:v>17.503982999999966</c:v>
                </c:pt>
                <c:pt idx="395">
                  <c:v>17.503982999999966</c:v>
                </c:pt>
                <c:pt idx="396">
                  <c:v>17.503982999999966</c:v>
                </c:pt>
                <c:pt idx="397">
                  <c:v>17.503982999999966</c:v>
                </c:pt>
                <c:pt idx="398">
                  <c:v>17.503982999999966</c:v>
                </c:pt>
                <c:pt idx="399">
                  <c:v>17.503982999999966</c:v>
                </c:pt>
                <c:pt idx="400">
                  <c:v>17.503982999999966</c:v>
                </c:pt>
                <c:pt idx="401">
                  <c:v>17.503982999999966</c:v>
                </c:pt>
                <c:pt idx="402">
                  <c:v>17.503982999999966</c:v>
                </c:pt>
                <c:pt idx="403">
                  <c:v>17.503982999999966</c:v>
                </c:pt>
                <c:pt idx="404">
                  <c:v>17.503982999999966</c:v>
                </c:pt>
                <c:pt idx="405">
                  <c:v>17.503982999999966</c:v>
                </c:pt>
                <c:pt idx="406">
                  <c:v>17.503982999999966</c:v>
                </c:pt>
                <c:pt idx="407">
                  <c:v>17.503982999999966</c:v>
                </c:pt>
                <c:pt idx="408">
                  <c:v>17.503982999999966</c:v>
                </c:pt>
                <c:pt idx="409">
                  <c:v>17.503982999999966</c:v>
                </c:pt>
                <c:pt idx="410">
                  <c:v>17.503982999999966</c:v>
                </c:pt>
                <c:pt idx="411">
                  <c:v>17.503982999999966</c:v>
                </c:pt>
                <c:pt idx="412">
                  <c:v>17.503982999999966</c:v>
                </c:pt>
                <c:pt idx="413">
                  <c:v>17.503982999999966</c:v>
                </c:pt>
                <c:pt idx="414">
                  <c:v>17.503982999999966</c:v>
                </c:pt>
                <c:pt idx="415">
                  <c:v>17.503982999999966</c:v>
                </c:pt>
                <c:pt idx="416">
                  <c:v>17.503982999999966</c:v>
                </c:pt>
                <c:pt idx="417">
                  <c:v>17.503982999999966</c:v>
                </c:pt>
                <c:pt idx="418">
                  <c:v>17.503982999999966</c:v>
                </c:pt>
                <c:pt idx="419">
                  <c:v>17.503982999999966</c:v>
                </c:pt>
                <c:pt idx="420">
                  <c:v>17.503982999999966</c:v>
                </c:pt>
                <c:pt idx="421">
                  <c:v>17.503982999999966</c:v>
                </c:pt>
                <c:pt idx="422">
                  <c:v>17.503982999999966</c:v>
                </c:pt>
                <c:pt idx="423">
                  <c:v>17.503982999999966</c:v>
                </c:pt>
                <c:pt idx="424">
                  <c:v>17.503982999999966</c:v>
                </c:pt>
                <c:pt idx="425">
                  <c:v>17.503982999999966</c:v>
                </c:pt>
                <c:pt idx="426">
                  <c:v>17.503982999999966</c:v>
                </c:pt>
                <c:pt idx="427">
                  <c:v>17.503982999999966</c:v>
                </c:pt>
                <c:pt idx="428">
                  <c:v>17.503982999999966</c:v>
                </c:pt>
                <c:pt idx="429">
                  <c:v>17.503982999999966</c:v>
                </c:pt>
                <c:pt idx="430">
                  <c:v>17.503982999999966</c:v>
                </c:pt>
                <c:pt idx="431">
                  <c:v>17.503982999999966</c:v>
                </c:pt>
                <c:pt idx="432">
                  <c:v>17.503982999999966</c:v>
                </c:pt>
                <c:pt idx="433">
                  <c:v>17.503982999999966</c:v>
                </c:pt>
                <c:pt idx="434">
                  <c:v>17.503982999999966</c:v>
                </c:pt>
                <c:pt idx="435">
                  <c:v>17.503982999999966</c:v>
                </c:pt>
                <c:pt idx="436">
                  <c:v>17.503982999999966</c:v>
                </c:pt>
                <c:pt idx="437">
                  <c:v>17.503982999999966</c:v>
                </c:pt>
                <c:pt idx="438">
                  <c:v>17.503982999999966</c:v>
                </c:pt>
                <c:pt idx="439">
                  <c:v>17.503982999999966</c:v>
                </c:pt>
                <c:pt idx="440">
                  <c:v>17.503982999999966</c:v>
                </c:pt>
                <c:pt idx="441">
                  <c:v>17.503982999999966</c:v>
                </c:pt>
                <c:pt idx="442">
                  <c:v>17.503982999999966</c:v>
                </c:pt>
                <c:pt idx="443">
                  <c:v>17.503982999999966</c:v>
                </c:pt>
                <c:pt idx="444">
                  <c:v>17.503982999999966</c:v>
                </c:pt>
                <c:pt idx="445">
                  <c:v>17.503982999999966</c:v>
                </c:pt>
                <c:pt idx="446">
                  <c:v>17.503982999999966</c:v>
                </c:pt>
                <c:pt idx="447">
                  <c:v>17.503982999999966</c:v>
                </c:pt>
                <c:pt idx="448">
                  <c:v>17.503982999999966</c:v>
                </c:pt>
                <c:pt idx="449">
                  <c:v>17.503982999999966</c:v>
                </c:pt>
                <c:pt idx="450">
                  <c:v>17.503982999999966</c:v>
                </c:pt>
                <c:pt idx="451">
                  <c:v>17.503982999999966</c:v>
                </c:pt>
                <c:pt idx="452">
                  <c:v>17.503982999999966</c:v>
                </c:pt>
                <c:pt idx="453">
                  <c:v>17.503982999999966</c:v>
                </c:pt>
                <c:pt idx="454">
                  <c:v>17.503982999999966</c:v>
                </c:pt>
                <c:pt idx="455">
                  <c:v>17.503982999999966</c:v>
                </c:pt>
                <c:pt idx="456">
                  <c:v>17.503982999999966</c:v>
                </c:pt>
                <c:pt idx="457">
                  <c:v>17.503982999999966</c:v>
                </c:pt>
                <c:pt idx="458">
                  <c:v>17.503982999999966</c:v>
                </c:pt>
                <c:pt idx="459">
                  <c:v>17.503982999999966</c:v>
                </c:pt>
                <c:pt idx="460">
                  <c:v>17.503982999999966</c:v>
                </c:pt>
                <c:pt idx="461">
                  <c:v>17.503982999999966</c:v>
                </c:pt>
                <c:pt idx="462">
                  <c:v>17.503982999999966</c:v>
                </c:pt>
                <c:pt idx="463">
                  <c:v>17.503982999999966</c:v>
                </c:pt>
                <c:pt idx="464">
                  <c:v>17.503982999999966</c:v>
                </c:pt>
                <c:pt idx="465">
                  <c:v>17.503982999999966</c:v>
                </c:pt>
                <c:pt idx="466">
                  <c:v>17.503982999999966</c:v>
                </c:pt>
                <c:pt idx="467">
                  <c:v>17.503982999999966</c:v>
                </c:pt>
                <c:pt idx="468">
                  <c:v>17.503982999999966</c:v>
                </c:pt>
                <c:pt idx="469">
                  <c:v>17.503982999999966</c:v>
                </c:pt>
                <c:pt idx="470">
                  <c:v>17.503982999999966</c:v>
                </c:pt>
                <c:pt idx="471">
                  <c:v>17.503982999999966</c:v>
                </c:pt>
                <c:pt idx="472">
                  <c:v>17.503982999999966</c:v>
                </c:pt>
                <c:pt idx="473">
                  <c:v>17.503982999999966</c:v>
                </c:pt>
                <c:pt idx="474">
                  <c:v>17.503982999999966</c:v>
                </c:pt>
                <c:pt idx="475">
                  <c:v>17.503982999999966</c:v>
                </c:pt>
                <c:pt idx="476">
                  <c:v>17.503982999999966</c:v>
                </c:pt>
                <c:pt idx="477">
                  <c:v>17.503982999999966</c:v>
                </c:pt>
                <c:pt idx="478">
                  <c:v>17.503982999999966</c:v>
                </c:pt>
                <c:pt idx="479">
                  <c:v>17.503982999999966</c:v>
                </c:pt>
                <c:pt idx="480">
                  <c:v>17.503982999999966</c:v>
                </c:pt>
                <c:pt idx="481">
                  <c:v>17.503982999999966</c:v>
                </c:pt>
                <c:pt idx="482">
                  <c:v>17.503982999999966</c:v>
                </c:pt>
                <c:pt idx="483">
                  <c:v>17.503982999999966</c:v>
                </c:pt>
                <c:pt idx="484">
                  <c:v>17.503982999999966</c:v>
                </c:pt>
                <c:pt idx="485">
                  <c:v>17.503982999999966</c:v>
                </c:pt>
                <c:pt idx="486">
                  <c:v>17.503982999999966</c:v>
                </c:pt>
                <c:pt idx="487">
                  <c:v>17.503982999999966</c:v>
                </c:pt>
                <c:pt idx="488">
                  <c:v>17.503982999999966</c:v>
                </c:pt>
                <c:pt idx="489">
                  <c:v>17.503982999999966</c:v>
                </c:pt>
                <c:pt idx="490">
                  <c:v>17.503982999999966</c:v>
                </c:pt>
                <c:pt idx="491">
                  <c:v>17.503982999999966</c:v>
                </c:pt>
                <c:pt idx="492">
                  <c:v>17.503982999999966</c:v>
                </c:pt>
                <c:pt idx="493">
                  <c:v>17.503982999999966</c:v>
                </c:pt>
                <c:pt idx="494">
                  <c:v>17.503982999999966</c:v>
                </c:pt>
                <c:pt idx="495">
                  <c:v>17.503982999999966</c:v>
                </c:pt>
                <c:pt idx="496">
                  <c:v>17.503982999999966</c:v>
                </c:pt>
                <c:pt idx="497">
                  <c:v>17.503982999999966</c:v>
                </c:pt>
                <c:pt idx="498">
                  <c:v>17.503982999999966</c:v>
                </c:pt>
                <c:pt idx="499">
                  <c:v>17.503982999999966</c:v>
                </c:pt>
                <c:pt idx="500">
                  <c:v>17.503982999999966</c:v>
                </c:pt>
                <c:pt idx="501">
                  <c:v>17.503982999999966</c:v>
                </c:pt>
                <c:pt idx="502">
                  <c:v>17.503982999999966</c:v>
                </c:pt>
                <c:pt idx="503">
                  <c:v>17.503982999999966</c:v>
                </c:pt>
                <c:pt idx="504">
                  <c:v>17.503982999999966</c:v>
                </c:pt>
                <c:pt idx="505">
                  <c:v>17.503982999999966</c:v>
                </c:pt>
                <c:pt idx="506">
                  <c:v>17.503982999999966</c:v>
                </c:pt>
                <c:pt idx="507">
                  <c:v>17.503982999999966</c:v>
                </c:pt>
                <c:pt idx="508">
                  <c:v>17.503982999999966</c:v>
                </c:pt>
                <c:pt idx="509">
                  <c:v>17.503982999999966</c:v>
                </c:pt>
                <c:pt idx="510">
                  <c:v>17.503982999999966</c:v>
                </c:pt>
                <c:pt idx="511">
                  <c:v>17.503982999999966</c:v>
                </c:pt>
                <c:pt idx="512">
                  <c:v>17.503982999999966</c:v>
                </c:pt>
                <c:pt idx="513">
                  <c:v>17.503982999999966</c:v>
                </c:pt>
                <c:pt idx="514">
                  <c:v>17.503982999999966</c:v>
                </c:pt>
                <c:pt idx="515">
                  <c:v>17.503982999999966</c:v>
                </c:pt>
                <c:pt idx="516">
                  <c:v>17.503982999999966</c:v>
                </c:pt>
                <c:pt idx="517">
                  <c:v>17.503982999999966</c:v>
                </c:pt>
                <c:pt idx="518">
                  <c:v>17.503982999999966</c:v>
                </c:pt>
                <c:pt idx="519">
                  <c:v>17.503982999999966</c:v>
                </c:pt>
                <c:pt idx="520">
                  <c:v>17.503982999999966</c:v>
                </c:pt>
                <c:pt idx="521">
                  <c:v>17.503982999999966</c:v>
                </c:pt>
                <c:pt idx="522">
                  <c:v>17.503982999999966</c:v>
                </c:pt>
                <c:pt idx="523">
                  <c:v>17.503982999999966</c:v>
                </c:pt>
                <c:pt idx="524">
                  <c:v>17.503982999999966</c:v>
                </c:pt>
                <c:pt idx="525">
                  <c:v>17.503982999999966</c:v>
                </c:pt>
                <c:pt idx="526">
                  <c:v>17.503982999999966</c:v>
                </c:pt>
                <c:pt idx="527">
                  <c:v>17.503982999999966</c:v>
                </c:pt>
                <c:pt idx="528">
                  <c:v>17.503982999999966</c:v>
                </c:pt>
                <c:pt idx="529">
                  <c:v>17.503982999999966</c:v>
                </c:pt>
                <c:pt idx="530">
                  <c:v>17.503982999999966</c:v>
                </c:pt>
                <c:pt idx="531">
                  <c:v>17.503982999999966</c:v>
                </c:pt>
                <c:pt idx="532">
                  <c:v>17.503982999999966</c:v>
                </c:pt>
                <c:pt idx="533">
                  <c:v>17.503982999999966</c:v>
                </c:pt>
                <c:pt idx="534">
                  <c:v>17.503982999999966</c:v>
                </c:pt>
                <c:pt idx="535">
                  <c:v>17.503982999999966</c:v>
                </c:pt>
                <c:pt idx="536">
                  <c:v>17.503982999999966</c:v>
                </c:pt>
                <c:pt idx="537">
                  <c:v>17.503982999999966</c:v>
                </c:pt>
                <c:pt idx="538">
                  <c:v>17.503982999999966</c:v>
                </c:pt>
                <c:pt idx="539">
                  <c:v>17.503982999999966</c:v>
                </c:pt>
                <c:pt idx="540">
                  <c:v>17.503982999999966</c:v>
                </c:pt>
                <c:pt idx="541">
                  <c:v>17.503982999999966</c:v>
                </c:pt>
                <c:pt idx="542">
                  <c:v>17.503982999999966</c:v>
                </c:pt>
                <c:pt idx="543">
                  <c:v>17.503982999999966</c:v>
                </c:pt>
                <c:pt idx="544">
                  <c:v>17.503982999999966</c:v>
                </c:pt>
                <c:pt idx="545">
                  <c:v>17.503982999999966</c:v>
                </c:pt>
                <c:pt idx="546">
                  <c:v>17.503982999999966</c:v>
                </c:pt>
                <c:pt idx="547">
                  <c:v>17.503982999999966</c:v>
                </c:pt>
                <c:pt idx="548">
                  <c:v>17.503982999999966</c:v>
                </c:pt>
                <c:pt idx="549">
                  <c:v>17.503982999999966</c:v>
                </c:pt>
                <c:pt idx="550">
                  <c:v>17.503982999999966</c:v>
                </c:pt>
                <c:pt idx="551">
                  <c:v>17.503982999999966</c:v>
                </c:pt>
                <c:pt idx="552">
                  <c:v>17.503982999999966</c:v>
                </c:pt>
                <c:pt idx="553">
                  <c:v>17.503982999999966</c:v>
                </c:pt>
                <c:pt idx="554">
                  <c:v>17.503982999999966</c:v>
                </c:pt>
                <c:pt idx="555">
                  <c:v>17.503982999999966</c:v>
                </c:pt>
                <c:pt idx="556">
                  <c:v>17.503982999999966</c:v>
                </c:pt>
                <c:pt idx="557">
                  <c:v>17.503982999999966</c:v>
                </c:pt>
                <c:pt idx="558">
                  <c:v>17.503982999999966</c:v>
                </c:pt>
                <c:pt idx="559">
                  <c:v>17.503982999999966</c:v>
                </c:pt>
                <c:pt idx="560">
                  <c:v>17.503982999999966</c:v>
                </c:pt>
                <c:pt idx="561">
                  <c:v>17.503982999999966</c:v>
                </c:pt>
                <c:pt idx="562">
                  <c:v>17.503982999999966</c:v>
                </c:pt>
                <c:pt idx="563">
                  <c:v>17.503982999999966</c:v>
                </c:pt>
                <c:pt idx="564">
                  <c:v>17.503982999999966</c:v>
                </c:pt>
                <c:pt idx="565">
                  <c:v>17.503982999999966</c:v>
                </c:pt>
                <c:pt idx="566">
                  <c:v>17.503982999999966</c:v>
                </c:pt>
                <c:pt idx="567">
                  <c:v>17.503982999999966</c:v>
                </c:pt>
                <c:pt idx="568">
                  <c:v>17.503982999999966</c:v>
                </c:pt>
                <c:pt idx="569">
                  <c:v>17.503982999999966</c:v>
                </c:pt>
                <c:pt idx="570">
                  <c:v>17.503982999999966</c:v>
                </c:pt>
                <c:pt idx="571">
                  <c:v>17.503982999999966</c:v>
                </c:pt>
                <c:pt idx="572">
                  <c:v>17.503982999999966</c:v>
                </c:pt>
                <c:pt idx="573">
                  <c:v>17.503982999999966</c:v>
                </c:pt>
                <c:pt idx="574">
                  <c:v>17.503982999999966</c:v>
                </c:pt>
                <c:pt idx="575">
                  <c:v>17.503982999999966</c:v>
                </c:pt>
                <c:pt idx="576">
                  <c:v>17.503982999999966</c:v>
                </c:pt>
                <c:pt idx="577">
                  <c:v>17.503982999999966</c:v>
                </c:pt>
                <c:pt idx="578">
                  <c:v>17.503982999999966</c:v>
                </c:pt>
                <c:pt idx="579">
                  <c:v>17.503982999999966</c:v>
                </c:pt>
                <c:pt idx="580">
                  <c:v>17.503982999999966</c:v>
                </c:pt>
                <c:pt idx="581">
                  <c:v>17.503982999999966</c:v>
                </c:pt>
                <c:pt idx="582">
                  <c:v>17.503982999999966</c:v>
                </c:pt>
                <c:pt idx="583">
                  <c:v>17.503982999999966</c:v>
                </c:pt>
                <c:pt idx="584">
                  <c:v>17.503982999999966</c:v>
                </c:pt>
                <c:pt idx="585">
                  <c:v>17.503982999999966</c:v>
                </c:pt>
                <c:pt idx="586">
                  <c:v>17.503982999999966</c:v>
                </c:pt>
                <c:pt idx="587">
                  <c:v>17.503982999999966</c:v>
                </c:pt>
                <c:pt idx="588">
                  <c:v>17.503982999999966</c:v>
                </c:pt>
                <c:pt idx="589">
                  <c:v>17.503982999999966</c:v>
                </c:pt>
                <c:pt idx="590">
                  <c:v>17.503982999999966</c:v>
                </c:pt>
                <c:pt idx="591">
                  <c:v>17.503982999999966</c:v>
                </c:pt>
                <c:pt idx="592">
                  <c:v>17.503982999999966</c:v>
                </c:pt>
                <c:pt idx="593">
                  <c:v>17.503982999999966</c:v>
                </c:pt>
                <c:pt idx="594">
                  <c:v>17.503982999999966</c:v>
                </c:pt>
                <c:pt idx="595">
                  <c:v>17.503982999999966</c:v>
                </c:pt>
                <c:pt idx="596">
                  <c:v>17.503982999999966</c:v>
                </c:pt>
                <c:pt idx="597">
                  <c:v>17.503982999999966</c:v>
                </c:pt>
                <c:pt idx="598">
                  <c:v>17.503982999999966</c:v>
                </c:pt>
                <c:pt idx="599">
                  <c:v>17.503982999999966</c:v>
                </c:pt>
                <c:pt idx="600">
                  <c:v>17.503982999999966</c:v>
                </c:pt>
                <c:pt idx="601">
                  <c:v>17.503982999999966</c:v>
                </c:pt>
                <c:pt idx="602">
                  <c:v>17.503982999999966</c:v>
                </c:pt>
                <c:pt idx="603">
                  <c:v>17.503982999999966</c:v>
                </c:pt>
                <c:pt idx="604">
                  <c:v>17.503982999999966</c:v>
                </c:pt>
                <c:pt idx="605">
                  <c:v>17.503982999999966</c:v>
                </c:pt>
                <c:pt idx="606">
                  <c:v>17.503982999999966</c:v>
                </c:pt>
                <c:pt idx="607">
                  <c:v>17.503982999999966</c:v>
                </c:pt>
                <c:pt idx="608">
                  <c:v>17.503982999999966</c:v>
                </c:pt>
                <c:pt idx="609">
                  <c:v>17.503982999999966</c:v>
                </c:pt>
                <c:pt idx="610">
                  <c:v>17.503982999999966</c:v>
                </c:pt>
                <c:pt idx="611">
                  <c:v>17.503982999999966</c:v>
                </c:pt>
                <c:pt idx="612">
                  <c:v>17.503982999999966</c:v>
                </c:pt>
                <c:pt idx="613">
                  <c:v>17.503982999999966</c:v>
                </c:pt>
                <c:pt idx="614">
                  <c:v>17.503982999999966</c:v>
                </c:pt>
                <c:pt idx="615">
                  <c:v>17.503982999999966</c:v>
                </c:pt>
                <c:pt idx="616">
                  <c:v>17.503982999999966</c:v>
                </c:pt>
                <c:pt idx="617">
                  <c:v>17.503982999999966</c:v>
                </c:pt>
                <c:pt idx="618">
                  <c:v>17.503982999999966</c:v>
                </c:pt>
                <c:pt idx="619">
                  <c:v>17.503982999999966</c:v>
                </c:pt>
                <c:pt idx="620">
                  <c:v>17.503982999999966</c:v>
                </c:pt>
                <c:pt idx="621">
                  <c:v>17.503982999999966</c:v>
                </c:pt>
                <c:pt idx="622">
                  <c:v>17.503982999999966</c:v>
                </c:pt>
                <c:pt idx="623">
                  <c:v>17.503982999999966</c:v>
                </c:pt>
                <c:pt idx="624">
                  <c:v>17.503982999999966</c:v>
                </c:pt>
                <c:pt idx="625">
                  <c:v>17.503982999999966</c:v>
                </c:pt>
                <c:pt idx="626">
                  <c:v>17.503982999999966</c:v>
                </c:pt>
                <c:pt idx="627">
                  <c:v>17.503982999999966</c:v>
                </c:pt>
                <c:pt idx="628">
                  <c:v>17.503982999999966</c:v>
                </c:pt>
                <c:pt idx="629">
                  <c:v>17.503982999999966</c:v>
                </c:pt>
                <c:pt idx="630">
                  <c:v>17.503982999999966</c:v>
                </c:pt>
                <c:pt idx="631">
                  <c:v>17.503982999999966</c:v>
                </c:pt>
                <c:pt idx="632">
                  <c:v>17.503982999999966</c:v>
                </c:pt>
                <c:pt idx="633">
                  <c:v>17.503982999999966</c:v>
                </c:pt>
                <c:pt idx="634">
                  <c:v>17.503982999999966</c:v>
                </c:pt>
                <c:pt idx="635">
                  <c:v>17.503982999999966</c:v>
                </c:pt>
                <c:pt idx="636">
                  <c:v>17.503982999999966</c:v>
                </c:pt>
                <c:pt idx="637">
                  <c:v>17.503982999999966</c:v>
                </c:pt>
                <c:pt idx="638">
                  <c:v>17.503982999999966</c:v>
                </c:pt>
                <c:pt idx="639">
                  <c:v>17.503982999999966</c:v>
                </c:pt>
                <c:pt idx="640">
                  <c:v>17.503982999999966</c:v>
                </c:pt>
                <c:pt idx="641">
                  <c:v>17.503982999999966</c:v>
                </c:pt>
                <c:pt idx="642">
                  <c:v>17.503982999999966</c:v>
                </c:pt>
                <c:pt idx="643">
                  <c:v>17.503982999999966</c:v>
                </c:pt>
                <c:pt idx="644">
                  <c:v>17.503982999999966</c:v>
                </c:pt>
                <c:pt idx="645">
                  <c:v>17.503982999999966</c:v>
                </c:pt>
                <c:pt idx="646">
                  <c:v>17.503982999999966</c:v>
                </c:pt>
                <c:pt idx="647">
                  <c:v>17.503982999999966</c:v>
                </c:pt>
                <c:pt idx="648">
                  <c:v>17.503982999999966</c:v>
                </c:pt>
                <c:pt idx="649">
                  <c:v>17.503982999999966</c:v>
                </c:pt>
                <c:pt idx="650">
                  <c:v>17.503982999999966</c:v>
                </c:pt>
                <c:pt idx="651">
                  <c:v>17.503982999999966</c:v>
                </c:pt>
                <c:pt idx="652">
                  <c:v>17.503982999999966</c:v>
                </c:pt>
                <c:pt idx="653">
                  <c:v>17.503982999999966</c:v>
                </c:pt>
                <c:pt idx="654">
                  <c:v>17.503982999999966</c:v>
                </c:pt>
                <c:pt idx="655">
                  <c:v>17.503982999999966</c:v>
                </c:pt>
                <c:pt idx="656">
                  <c:v>17.503982999999966</c:v>
                </c:pt>
                <c:pt idx="657">
                  <c:v>17.503982999999966</c:v>
                </c:pt>
                <c:pt idx="658">
                  <c:v>17.503982999999966</c:v>
                </c:pt>
                <c:pt idx="659">
                  <c:v>17.503982999999966</c:v>
                </c:pt>
                <c:pt idx="660">
                  <c:v>17.503982999999966</c:v>
                </c:pt>
                <c:pt idx="661">
                  <c:v>17.503982999999966</c:v>
                </c:pt>
                <c:pt idx="662">
                  <c:v>17.503982999999966</c:v>
                </c:pt>
                <c:pt idx="663">
                  <c:v>17.503982999999966</c:v>
                </c:pt>
                <c:pt idx="664">
                  <c:v>17.503982999999966</c:v>
                </c:pt>
                <c:pt idx="665">
                  <c:v>17.503982999999966</c:v>
                </c:pt>
                <c:pt idx="666">
                  <c:v>17.503982999999966</c:v>
                </c:pt>
                <c:pt idx="667">
                  <c:v>17.503982999999966</c:v>
                </c:pt>
                <c:pt idx="668">
                  <c:v>17.503982999999966</c:v>
                </c:pt>
                <c:pt idx="669">
                  <c:v>17.503982999999966</c:v>
                </c:pt>
                <c:pt idx="670">
                  <c:v>17.503982999999966</c:v>
                </c:pt>
                <c:pt idx="671">
                  <c:v>17.503982999999966</c:v>
                </c:pt>
                <c:pt idx="672">
                  <c:v>17.503982999999966</c:v>
                </c:pt>
                <c:pt idx="673">
                  <c:v>17.503982999999966</c:v>
                </c:pt>
                <c:pt idx="674">
                  <c:v>17.503982999999966</c:v>
                </c:pt>
                <c:pt idx="675">
                  <c:v>17.503982999999966</c:v>
                </c:pt>
                <c:pt idx="676">
                  <c:v>17.503982999999966</c:v>
                </c:pt>
                <c:pt idx="677">
                  <c:v>17.503982999999966</c:v>
                </c:pt>
                <c:pt idx="678">
                  <c:v>17.503982999999966</c:v>
                </c:pt>
                <c:pt idx="679">
                  <c:v>17.503982999999966</c:v>
                </c:pt>
                <c:pt idx="680">
                  <c:v>17.503982999999966</c:v>
                </c:pt>
                <c:pt idx="681">
                  <c:v>17.503982999999966</c:v>
                </c:pt>
                <c:pt idx="682">
                  <c:v>17.503982999999966</c:v>
                </c:pt>
                <c:pt idx="683">
                  <c:v>17.503982999999966</c:v>
                </c:pt>
                <c:pt idx="684">
                  <c:v>17.503982999999966</c:v>
                </c:pt>
                <c:pt idx="685">
                  <c:v>17.503982999999966</c:v>
                </c:pt>
                <c:pt idx="686">
                  <c:v>17.503982999999966</c:v>
                </c:pt>
                <c:pt idx="687">
                  <c:v>17.503982999999966</c:v>
                </c:pt>
                <c:pt idx="688">
                  <c:v>17.503982999999966</c:v>
                </c:pt>
                <c:pt idx="689">
                  <c:v>17.503982999999966</c:v>
                </c:pt>
                <c:pt idx="690">
                  <c:v>17.503982999999966</c:v>
                </c:pt>
                <c:pt idx="691">
                  <c:v>17.503982999999966</c:v>
                </c:pt>
                <c:pt idx="692">
                  <c:v>17.503982999999966</c:v>
                </c:pt>
                <c:pt idx="693">
                  <c:v>17.503982999999966</c:v>
                </c:pt>
                <c:pt idx="694">
                  <c:v>17.503982999999966</c:v>
                </c:pt>
                <c:pt idx="695">
                  <c:v>17.503982999999966</c:v>
                </c:pt>
                <c:pt idx="696">
                  <c:v>17.503982999999966</c:v>
                </c:pt>
                <c:pt idx="697">
                  <c:v>17.503982999999966</c:v>
                </c:pt>
                <c:pt idx="698">
                  <c:v>17.503982999999966</c:v>
                </c:pt>
                <c:pt idx="699">
                  <c:v>17.503982999999966</c:v>
                </c:pt>
                <c:pt idx="700">
                  <c:v>17.503982999999966</c:v>
                </c:pt>
                <c:pt idx="701">
                  <c:v>17.503982999999966</c:v>
                </c:pt>
                <c:pt idx="702">
                  <c:v>17.503982999999966</c:v>
                </c:pt>
                <c:pt idx="703">
                  <c:v>17.503982999999966</c:v>
                </c:pt>
                <c:pt idx="704">
                  <c:v>17.503982999999966</c:v>
                </c:pt>
                <c:pt idx="705">
                  <c:v>17.503982999999966</c:v>
                </c:pt>
                <c:pt idx="706">
                  <c:v>17.503982999999966</c:v>
                </c:pt>
                <c:pt idx="707">
                  <c:v>17.503982999999966</c:v>
                </c:pt>
                <c:pt idx="708">
                  <c:v>17.503982999999966</c:v>
                </c:pt>
                <c:pt idx="709">
                  <c:v>17.503982999999966</c:v>
                </c:pt>
                <c:pt idx="710">
                  <c:v>17.503982999999966</c:v>
                </c:pt>
                <c:pt idx="711">
                  <c:v>17.503982999999966</c:v>
                </c:pt>
                <c:pt idx="712">
                  <c:v>17.503982999999966</c:v>
                </c:pt>
                <c:pt idx="713">
                  <c:v>17.503982999999966</c:v>
                </c:pt>
                <c:pt idx="714">
                  <c:v>17.503982999999966</c:v>
                </c:pt>
                <c:pt idx="715">
                  <c:v>17.503982999999966</c:v>
                </c:pt>
                <c:pt idx="716">
                  <c:v>17.503982999999966</c:v>
                </c:pt>
                <c:pt idx="717">
                  <c:v>17.503982999999966</c:v>
                </c:pt>
                <c:pt idx="718">
                  <c:v>17.503982999999966</c:v>
                </c:pt>
                <c:pt idx="719">
                  <c:v>17.503982999999966</c:v>
                </c:pt>
                <c:pt idx="720">
                  <c:v>17.503982999999966</c:v>
                </c:pt>
                <c:pt idx="721">
                  <c:v>17.503982999999966</c:v>
                </c:pt>
                <c:pt idx="722">
                  <c:v>17.503982999999966</c:v>
                </c:pt>
                <c:pt idx="723">
                  <c:v>17.503982999999966</c:v>
                </c:pt>
                <c:pt idx="724">
                  <c:v>17.503982999999966</c:v>
                </c:pt>
                <c:pt idx="725">
                  <c:v>17.503982999999966</c:v>
                </c:pt>
                <c:pt idx="726">
                  <c:v>17.503982999999966</c:v>
                </c:pt>
                <c:pt idx="727">
                  <c:v>17.503982999999966</c:v>
                </c:pt>
                <c:pt idx="728">
                  <c:v>17.503982999999966</c:v>
                </c:pt>
                <c:pt idx="729">
                  <c:v>17.503982999999966</c:v>
                </c:pt>
                <c:pt idx="730">
                  <c:v>17.503982999999966</c:v>
                </c:pt>
                <c:pt idx="731">
                  <c:v>17.503982999999966</c:v>
                </c:pt>
                <c:pt idx="732">
                  <c:v>17.503982999999966</c:v>
                </c:pt>
                <c:pt idx="733">
                  <c:v>17.503982999999966</c:v>
                </c:pt>
                <c:pt idx="734">
                  <c:v>17.503982999999966</c:v>
                </c:pt>
                <c:pt idx="735">
                  <c:v>17.503982999999966</c:v>
                </c:pt>
                <c:pt idx="736">
                  <c:v>17.503982999999966</c:v>
                </c:pt>
                <c:pt idx="737">
                  <c:v>17.503982999999966</c:v>
                </c:pt>
                <c:pt idx="738">
                  <c:v>17.503982999999966</c:v>
                </c:pt>
                <c:pt idx="739">
                  <c:v>17.503982999999966</c:v>
                </c:pt>
                <c:pt idx="740">
                  <c:v>17.503982999999966</c:v>
                </c:pt>
                <c:pt idx="741">
                  <c:v>17.503982999999966</c:v>
                </c:pt>
                <c:pt idx="742">
                  <c:v>17.503982999999966</c:v>
                </c:pt>
                <c:pt idx="743">
                  <c:v>17.503982999999966</c:v>
                </c:pt>
                <c:pt idx="744">
                  <c:v>17.503982999999966</c:v>
                </c:pt>
                <c:pt idx="745">
                  <c:v>17.503982999999966</c:v>
                </c:pt>
                <c:pt idx="746">
                  <c:v>17.503982999999966</c:v>
                </c:pt>
                <c:pt idx="747">
                  <c:v>17.503982999999966</c:v>
                </c:pt>
                <c:pt idx="748">
                  <c:v>17.503982999999966</c:v>
                </c:pt>
                <c:pt idx="749">
                  <c:v>17.503982999999966</c:v>
                </c:pt>
                <c:pt idx="750">
                  <c:v>17.503982999999966</c:v>
                </c:pt>
                <c:pt idx="751">
                  <c:v>17.503982999999966</c:v>
                </c:pt>
                <c:pt idx="752">
                  <c:v>17.503982999999966</c:v>
                </c:pt>
                <c:pt idx="753">
                  <c:v>17.503982999999966</c:v>
                </c:pt>
                <c:pt idx="754">
                  <c:v>17.503982999999966</c:v>
                </c:pt>
                <c:pt idx="755">
                  <c:v>17.503982999999966</c:v>
                </c:pt>
                <c:pt idx="756">
                  <c:v>17.503982999999966</c:v>
                </c:pt>
                <c:pt idx="757">
                  <c:v>17.503982999999966</c:v>
                </c:pt>
                <c:pt idx="758">
                  <c:v>17.503982999999966</c:v>
                </c:pt>
                <c:pt idx="759">
                  <c:v>17.503982999999966</c:v>
                </c:pt>
                <c:pt idx="760">
                  <c:v>17.503982999999966</c:v>
                </c:pt>
                <c:pt idx="761">
                  <c:v>17.503982999999966</c:v>
                </c:pt>
                <c:pt idx="762">
                  <c:v>17.503982999999966</c:v>
                </c:pt>
                <c:pt idx="763">
                  <c:v>17.503982999999966</c:v>
                </c:pt>
                <c:pt idx="764">
                  <c:v>17.503982999999966</c:v>
                </c:pt>
                <c:pt idx="765">
                  <c:v>17.503982999999966</c:v>
                </c:pt>
                <c:pt idx="766">
                  <c:v>17.503982999999966</c:v>
                </c:pt>
                <c:pt idx="767">
                  <c:v>17.503982999999966</c:v>
                </c:pt>
                <c:pt idx="768">
                  <c:v>17.503982999999966</c:v>
                </c:pt>
                <c:pt idx="769">
                  <c:v>17.503982999999966</c:v>
                </c:pt>
                <c:pt idx="770">
                  <c:v>17.503982999999966</c:v>
                </c:pt>
                <c:pt idx="771">
                  <c:v>17.503982999999966</c:v>
                </c:pt>
                <c:pt idx="772">
                  <c:v>17.503982999999966</c:v>
                </c:pt>
                <c:pt idx="773">
                  <c:v>17.503982999999966</c:v>
                </c:pt>
                <c:pt idx="774">
                  <c:v>17.503982999999966</c:v>
                </c:pt>
                <c:pt idx="775">
                  <c:v>17.503982999999966</c:v>
                </c:pt>
                <c:pt idx="776">
                  <c:v>17.503982999999966</c:v>
                </c:pt>
                <c:pt idx="777">
                  <c:v>17.503982999999966</c:v>
                </c:pt>
                <c:pt idx="778">
                  <c:v>17.503982999999966</c:v>
                </c:pt>
                <c:pt idx="779">
                  <c:v>17.503982999999966</c:v>
                </c:pt>
                <c:pt idx="780">
                  <c:v>17.503982999999966</c:v>
                </c:pt>
                <c:pt idx="781">
                  <c:v>17.503982999999966</c:v>
                </c:pt>
                <c:pt idx="782">
                  <c:v>17.503982999999966</c:v>
                </c:pt>
                <c:pt idx="783">
                  <c:v>17.503982999999966</c:v>
                </c:pt>
                <c:pt idx="784">
                  <c:v>17.503982999999966</c:v>
                </c:pt>
                <c:pt idx="785">
                  <c:v>17.503982999999966</c:v>
                </c:pt>
                <c:pt idx="786">
                  <c:v>17.503982999999966</c:v>
                </c:pt>
                <c:pt idx="787">
                  <c:v>17.503982999999966</c:v>
                </c:pt>
                <c:pt idx="788">
                  <c:v>17.503982999999966</c:v>
                </c:pt>
                <c:pt idx="789">
                  <c:v>17.503982999999966</c:v>
                </c:pt>
                <c:pt idx="790">
                  <c:v>17.503982999999966</c:v>
                </c:pt>
                <c:pt idx="791">
                  <c:v>17.503982999999966</c:v>
                </c:pt>
                <c:pt idx="792">
                  <c:v>17.503982999999966</c:v>
                </c:pt>
                <c:pt idx="793">
                  <c:v>17.503982999999966</c:v>
                </c:pt>
                <c:pt idx="794">
                  <c:v>17.503982999999966</c:v>
                </c:pt>
                <c:pt idx="795">
                  <c:v>17.503982999999966</c:v>
                </c:pt>
                <c:pt idx="796">
                  <c:v>17.503982999999966</c:v>
                </c:pt>
                <c:pt idx="797">
                  <c:v>17.503982999999966</c:v>
                </c:pt>
                <c:pt idx="798">
                  <c:v>17.503982999999966</c:v>
                </c:pt>
                <c:pt idx="799">
                  <c:v>17.503982999999966</c:v>
                </c:pt>
                <c:pt idx="800">
                  <c:v>17.503982999999966</c:v>
                </c:pt>
                <c:pt idx="801">
                  <c:v>17.503982999999966</c:v>
                </c:pt>
                <c:pt idx="802">
                  <c:v>17.503982999999966</c:v>
                </c:pt>
                <c:pt idx="803">
                  <c:v>17.503982999999966</c:v>
                </c:pt>
                <c:pt idx="804">
                  <c:v>17.503982999999966</c:v>
                </c:pt>
                <c:pt idx="805">
                  <c:v>17.503982999999966</c:v>
                </c:pt>
                <c:pt idx="806">
                  <c:v>17.503982999999966</c:v>
                </c:pt>
                <c:pt idx="807">
                  <c:v>17.503982999999966</c:v>
                </c:pt>
                <c:pt idx="808">
                  <c:v>17.503982999999966</c:v>
                </c:pt>
                <c:pt idx="809">
                  <c:v>17.503982999999966</c:v>
                </c:pt>
                <c:pt idx="810">
                  <c:v>17.503982999999966</c:v>
                </c:pt>
                <c:pt idx="811">
                  <c:v>17.503982999999966</c:v>
                </c:pt>
                <c:pt idx="812">
                  <c:v>17.503982999999966</c:v>
                </c:pt>
                <c:pt idx="813">
                  <c:v>17.503982999999966</c:v>
                </c:pt>
                <c:pt idx="814">
                  <c:v>17.503982999999966</c:v>
                </c:pt>
                <c:pt idx="815">
                  <c:v>17.503982999999966</c:v>
                </c:pt>
                <c:pt idx="816">
                  <c:v>17.503982999999966</c:v>
                </c:pt>
                <c:pt idx="817">
                  <c:v>17.503982999999966</c:v>
                </c:pt>
                <c:pt idx="818">
                  <c:v>17.503982999999966</c:v>
                </c:pt>
                <c:pt idx="819">
                  <c:v>17.503982999999966</c:v>
                </c:pt>
                <c:pt idx="820">
                  <c:v>17.503982999999966</c:v>
                </c:pt>
                <c:pt idx="821">
                  <c:v>17.503982999999966</c:v>
                </c:pt>
                <c:pt idx="822">
                  <c:v>17.503982999999966</c:v>
                </c:pt>
                <c:pt idx="823">
                  <c:v>17.503982999999966</c:v>
                </c:pt>
                <c:pt idx="824">
                  <c:v>17.503982999999966</c:v>
                </c:pt>
                <c:pt idx="825">
                  <c:v>17.503982999999966</c:v>
                </c:pt>
                <c:pt idx="826">
                  <c:v>17.503982999999966</c:v>
                </c:pt>
                <c:pt idx="827">
                  <c:v>17.503982999999966</c:v>
                </c:pt>
                <c:pt idx="828">
                  <c:v>17.503982999999966</c:v>
                </c:pt>
                <c:pt idx="829">
                  <c:v>17.503982999999966</c:v>
                </c:pt>
                <c:pt idx="830">
                  <c:v>17.503982999999966</c:v>
                </c:pt>
                <c:pt idx="831">
                  <c:v>17.503982999999966</c:v>
                </c:pt>
                <c:pt idx="832">
                  <c:v>17.503982999999966</c:v>
                </c:pt>
                <c:pt idx="833">
                  <c:v>17.503982999999966</c:v>
                </c:pt>
                <c:pt idx="834">
                  <c:v>17.503982999999966</c:v>
                </c:pt>
                <c:pt idx="835">
                  <c:v>17.503982999999966</c:v>
                </c:pt>
                <c:pt idx="836">
                  <c:v>17.503982999999966</c:v>
                </c:pt>
                <c:pt idx="837">
                  <c:v>17.503982999999966</c:v>
                </c:pt>
                <c:pt idx="838">
                  <c:v>17.503982999999966</c:v>
                </c:pt>
                <c:pt idx="839">
                  <c:v>17.503982999999966</c:v>
                </c:pt>
                <c:pt idx="840">
                  <c:v>17.503982999999966</c:v>
                </c:pt>
                <c:pt idx="841">
                  <c:v>17.503982999999966</c:v>
                </c:pt>
                <c:pt idx="842">
                  <c:v>17.503982999999966</c:v>
                </c:pt>
                <c:pt idx="843">
                  <c:v>17.503982999999966</c:v>
                </c:pt>
                <c:pt idx="844">
                  <c:v>17.503982999999966</c:v>
                </c:pt>
                <c:pt idx="845">
                  <c:v>17.503982999999966</c:v>
                </c:pt>
                <c:pt idx="846">
                  <c:v>17.503982999999966</c:v>
                </c:pt>
                <c:pt idx="847">
                  <c:v>17.503982999999966</c:v>
                </c:pt>
                <c:pt idx="848">
                  <c:v>17.503982999999966</c:v>
                </c:pt>
                <c:pt idx="849">
                  <c:v>17.503982999999966</c:v>
                </c:pt>
                <c:pt idx="850">
                  <c:v>17.503982999999966</c:v>
                </c:pt>
                <c:pt idx="851">
                  <c:v>17.503982999999966</c:v>
                </c:pt>
                <c:pt idx="852">
                  <c:v>17.503982999999966</c:v>
                </c:pt>
                <c:pt idx="853">
                  <c:v>17.503982999999966</c:v>
                </c:pt>
                <c:pt idx="854">
                  <c:v>17.503982999999966</c:v>
                </c:pt>
                <c:pt idx="855">
                  <c:v>17.503982999999966</c:v>
                </c:pt>
                <c:pt idx="856">
                  <c:v>17.503982999999966</c:v>
                </c:pt>
                <c:pt idx="857">
                  <c:v>17.503982999999966</c:v>
                </c:pt>
                <c:pt idx="858">
                  <c:v>17.503982999999966</c:v>
                </c:pt>
                <c:pt idx="859">
                  <c:v>17.503982999999966</c:v>
                </c:pt>
                <c:pt idx="860">
                  <c:v>17.503982999999966</c:v>
                </c:pt>
                <c:pt idx="861">
                  <c:v>17.503982999999966</c:v>
                </c:pt>
                <c:pt idx="862">
                  <c:v>17.503982999999966</c:v>
                </c:pt>
                <c:pt idx="863">
                  <c:v>17.503982999999966</c:v>
                </c:pt>
                <c:pt idx="864">
                  <c:v>17.503982999999966</c:v>
                </c:pt>
                <c:pt idx="865">
                  <c:v>17.503982999999966</c:v>
                </c:pt>
                <c:pt idx="866">
                  <c:v>17.503982999999966</c:v>
                </c:pt>
                <c:pt idx="867">
                  <c:v>17.503982999999966</c:v>
                </c:pt>
                <c:pt idx="868">
                  <c:v>17.503982999999966</c:v>
                </c:pt>
                <c:pt idx="869">
                  <c:v>17.503982999999966</c:v>
                </c:pt>
                <c:pt idx="870">
                  <c:v>17.503982999999966</c:v>
                </c:pt>
                <c:pt idx="871">
                  <c:v>17.503982999999966</c:v>
                </c:pt>
                <c:pt idx="872">
                  <c:v>17.503982999999966</c:v>
                </c:pt>
                <c:pt idx="873">
                  <c:v>17.503982999999966</c:v>
                </c:pt>
                <c:pt idx="874">
                  <c:v>17.503982999999966</c:v>
                </c:pt>
                <c:pt idx="875">
                  <c:v>17.503982999999966</c:v>
                </c:pt>
                <c:pt idx="876">
                  <c:v>17.503982999999966</c:v>
                </c:pt>
                <c:pt idx="877">
                  <c:v>17.503982999999966</c:v>
                </c:pt>
                <c:pt idx="878">
                  <c:v>17.503982999999966</c:v>
                </c:pt>
                <c:pt idx="879">
                  <c:v>17.503982999999966</c:v>
                </c:pt>
                <c:pt idx="880">
                  <c:v>17.503982999999966</c:v>
                </c:pt>
                <c:pt idx="881">
                  <c:v>17.503982999999966</c:v>
                </c:pt>
                <c:pt idx="882">
                  <c:v>17.503982999999966</c:v>
                </c:pt>
                <c:pt idx="883">
                  <c:v>17.503982999999966</c:v>
                </c:pt>
                <c:pt idx="884">
                  <c:v>17.503982999999966</c:v>
                </c:pt>
                <c:pt idx="885">
                  <c:v>17.503982999999966</c:v>
                </c:pt>
                <c:pt idx="886">
                  <c:v>17.503982999999966</c:v>
                </c:pt>
                <c:pt idx="887">
                  <c:v>17.503982999999966</c:v>
                </c:pt>
                <c:pt idx="888">
                  <c:v>17.503982999999966</c:v>
                </c:pt>
                <c:pt idx="889">
                  <c:v>17.503982999999966</c:v>
                </c:pt>
                <c:pt idx="890">
                  <c:v>17.503982999999966</c:v>
                </c:pt>
                <c:pt idx="891">
                  <c:v>17.503982999999966</c:v>
                </c:pt>
                <c:pt idx="892">
                  <c:v>17.503982999999966</c:v>
                </c:pt>
                <c:pt idx="893">
                  <c:v>17.503982999999966</c:v>
                </c:pt>
                <c:pt idx="894">
                  <c:v>17.503982999999966</c:v>
                </c:pt>
                <c:pt idx="895">
                  <c:v>17.503982999999966</c:v>
                </c:pt>
                <c:pt idx="896">
                  <c:v>17.503982999999966</c:v>
                </c:pt>
                <c:pt idx="897">
                  <c:v>17.503982999999966</c:v>
                </c:pt>
                <c:pt idx="898">
                  <c:v>17.503982999999966</c:v>
                </c:pt>
                <c:pt idx="899">
                  <c:v>17.503982999999966</c:v>
                </c:pt>
                <c:pt idx="900">
                  <c:v>17.503982999999966</c:v>
                </c:pt>
                <c:pt idx="901">
                  <c:v>17.503982999999966</c:v>
                </c:pt>
                <c:pt idx="902">
                  <c:v>17.503982999999966</c:v>
                </c:pt>
                <c:pt idx="903">
                  <c:v>17.503982999999966</c:v>
                </c:pt>
                <c:pt idx="904">
                  <c:v>17.503982999999966</c:v>
                </c:pt>
                <c:pt idx="905">
                  <c:v>17.503982999999966</c:v>
                </c:pt>
                <c:pt idx="906">
                  <c:v>17.503982999999966</c:v>
                </c:pt>
                <c:pt idx="907">
                  <c:v>17.503982999999966</c:v>
                </c:pt>
                <c:pt idx="908">
                  <c:v>17.503982999999966</c:v>
                </c:pt>
                <c:pt idx="909">
                  <c:v>17.503982999999966</c:v>
                </c:pt>
                <c:pt idx="910">
                  <c:v>17.503982999999966</c:v>
                </c:pt>
                <c:pt idx="911">
                  <c:v>17.503982999999966</c:v>
                </c:pt>
                <c:pt idx="912">
                  <c:v>17.503982999999966</c:v>
                </c:pt>
                <c:pt idx="913">
                  <c:v>17.503982999999966</c:v>
                </c:pt>
                <c:pt idx="914">
                  <c:v>17.503982999999966</c:v>
                </c:pt>
                <c:pt idx="915">
                  <c:v>17.503982999999966</c:v>
                </c:pt>
                <c:pt idx="916">
                  <c:v>17.503982999999966</c:v>
                </c:pt>
                <c:pt idx="917">
                  <c:v>17.503982999999966</c:v>
                </c:pt>
                <c:pt idx="918">
                  <c:v>17.503982999999966</c:v>
                </c:pt>
                <c:pt idx="919">
                  <c:v>17.503982999999966</c:v>
                </c:pt>
                <c:pt idx="920">
                  <c:v>17.503982999999966</c:v>
                </c:pt>
                <c:pt idx="921">
                  <c:v>17.503982999999966</c:v>
                </c:pt>
                <c:pt idx="922">
                  <c:v>17.503982999999966</c:v>
                </c:pt>
                <c:pt idx="923">
                  <c:v>17.503982999999966</c:v>
                </c:pt>
                <c:pt idx="924">
                  <c:v>17.503982999999966</c:v>
                </c:pt>
                <c:pt idx="925">
                  <c:v>17.503982999999966</c:v>
                </c:pt>
                <c:pt idx="926">
                  <c:v>17.503982999999966</c:v>
                </c:pt>
                <c:pt idx="927">
                  <c:v>17.503982999999966</c:v>
                </c:pt>
                <c:pt idx="928">
                  <c:v>17.503982999999966</c:v>
                </c:pt>
                <c:pt idx="929">
                  <c:v>17.503982999999966</c:v>
                </c:pt>
                <c:pt idx="930">
                  <c:v>17.503982999999966</c:v>
                </c:pt>
                <c:pt idx="931">
                  <c:v>17.503982999999966</c:v>
                </c:pt>
                <c:pt idx="932">
                  <c:v>17.503982999999966</c:v>
                </c:pt>
                <c:pt idx="933">
                  <c:v>17.503982999999966</c:v>
                </c:pt>
                <c:pt idx="934">
                  <c:v>17.503982999999966</c:v>
                </c:pt>
                <c:pt idx="935">
                  <c:v>17.503982999999966</c:v>
                </c:pt>
                <c:pt idx="936">
                  <c:v>17.503982999999966</c:v>
                </c:pt>
                <c:pt idx="937">
                  <c:v>17.503982999999966</c:v>
                </c:pt>
                <c:pt idx="938">
                  <c:v>17.503982999999966</c:v>
                </c:pt>
                <c:pt idx="939">
                  <c:v>17.503982999999966</c:v>
                </c:pt>
                <c:pt idx="940">
                  <c:v>17.503982999999966</c:v>
                </c:pt>
                <c:pt idx="941">
                  <c:v>17.503982999999966</c:v>
                </c:pt>
                <c:pt idx="942">
                  <c:v>17.503982999999966</c:v>
                </c:pt>
                <c:pt idx="943">
                  <c:v>17.503982999999966</c:v>
                </c:pt>
                <c:pt idx="944">
                  <c:v>17.503982999999966</c:v>
                </c:pt>
                <c:pt idx="945">
                  <c:v>17.503982999999966</c:v>
                </c:pt>
                <c:pt idx="946">
                  <c:v>17.503982999999966</c:v>
                </c:pt>
                <c:pt idx="947">
                  <c:v>17.503982999999966</c:v>
                </c:pt>
                <c:pt idx="948">
                  <c:v>17.503982999999966</c:v>
                </c:pt>
                <c:pt idx="949">
                  <c:v>17.503982999999966</c:v>
                </c:pt>
                <c:pt idx="950">
                  <c:v>17.503982999999966</c:v>
                </c:pt>
                <c:pt idx="951">
                  <c:v>17.503982999999966</c:v>
                </c:pt>
                <c:pt idx="952">
                  <c:v>17.503982999999966</c:v>
                </c:pt>
                <c:pt idx="953">
                  <c:v>17.503982999999966</c:v>
                </c:pt>
                <c:pt idx="954">
                  <c:v>17.503982999999966</c:v>
                </c:pt>
                <c:pt idx="955">
                  <c:v>17.503982999999966</c:v>
                </c:pt>
                <c:pt idx="956">
                  <c:v>17.503982999999966</c:v>
                </c:pt>
                <c:pt idx="957">
                  <c:v>17.503982999999966</c:v>
                </c:pt>
                <c:pt idx="958">
                  <c:v>17.503982999999966</c:v>
                </c:pt>
                <c:pt idx="959">
                  <c:v>17.503982999999966</c:v>
                </c:pt>
                <c:pt idx="960">
                  <c:v>17.503982999999966</c:v>
                </c:pt>
                <c:pt idx="961">
                  <c:v>17.503982999999966</c:v>
                </c:pt>
                <c:pt idx="962">
                  <c:v>17.503982999999966</c:v>
                </c:pt>
                <c:pt idx="963">
                  <c:v>17.503982999999966</c:v>
                </c:pt>
                <c:pt idx="964">
                  <c:v>17.503982999999966</c:v>
                </c:pt>
                <c:pt idx="965">
                  <c:v>17.503982999999966</c:v>
                </c:pt>
                <c:pt idx="966">
                  <c:v>17.503982999999966</c:v>
                </c:pt>
                <c:pt idx="967">
                  <c:v>17.503982999999966</c:v>
                </c:pt>
                <c:pt idx="968">
                  <c:v>17.503982999999966</c:v>
                </c:pt>
                <c:pt idx="969">
                  <c:v>17.503982999999966</c:v>
                </c:pt>
                <c:pt idx="970">
                  <c:v>17.503982999999966</c:v>
                </c:pt>
                <c:pt idx="971">
                  <c:v>17.503982999999966</c:v>
                </c:pt>
                <c:pt idx="972">
                  <c:v>17.503982999999966</c:v>
                </c:pt>
                <c:pt idx="973">
                  <c:v>17.503982999999966</c:v>
                </c:pt>
                <c:pt idx="974">
                  <c:v>17.503982999999966</c:v>
                </c:pt>
                <c:pt idx="975">
                  <c:v>17.503982999999966</c:v>
                </c:pt>
                <c:pt idx="976">
                  <c:v>17.503982999999966</c:v>
                </c:pt>
                <c:pt idx="977">
                  <c:v>17.503982999999966</c:v>
                </c:pt>
                <c:pt idx="978">
                  <c:v>17.503982999999966</c:v>
                </c:pt>
                <c:pt idx="979">
                  <c:v>17.503982999999966</c:v>
                </c:pt>
                <c:pt idx="980">
                  <c:v>17.503982999999966</c:v>
                </c:pt>
                <c:pt idx="981">
                  <c:v>17.503982999999966</c:v>
                </c:pt>
                <c:pt idx="982">
                  <c:v>17.503982999999966</c:v>
                </c:pt>
                <c:pt idx="983">
                  <c:v>17.503982999999966</c:v>
                </c:pt>
                <c:pt idx="984">
                  <c:v>17.503982999999966</c:v>
                </c:pt>
                <c:pt idx="985">
                  <c:v>17.503982999999966</c:v>
                </c:pt>
                <c:pt idx="986">
                  <c:v>17.503982999999966</c:v>
                </c:pt>
                <c:pt idx="987">
                  <c:v>17.503982999999966</c:v>
                </c:pt>
                <c:pt idx="988">
                  <c:v>17.503982999999966</c:v>
                </c:pt>
                <c:pt idx="989">
                  <c:v>17.503982999999966</c:v>
                </c:pt>
                <c:pt idx="990">
                  <c:v>17.503982999999966</c:v>
                </c:pt>
                <c:pt idx="991">
                  <c:v>17.503982999999966</c:v>
                </c:pt>
                <c:pt idx="992">
                  <c:v>17.503982999999966</c:v>
                </c:pt>
                <c:pt idx="993">
                  <c:v>17.503982999999966</c:v>
                </c:pt>
                <c:pt idx="994">
                  <c:v>17.503982999999966</c:v>
                </c:pt>
                <c:pt idx="995">
                  <c:v>17.503982999999966</c:v>
                </c:pt>
                <c:pt idx="996">
                  <c:v>17.503982999999966</c:v>
                </c:pt>
                <c:pt idx="997">
                  <c:v>17.503982999999966</c:v>
                </c:pt>
                <c:pt idx="998">
                  <c:v>17.503982999999966</c:v>
                </c:pt>
                <c:pt idx="999">
                  <c:v>17.503982999999966</c:v>
                </c:pt>
                <c:pt idx="1000">
                  <c:v>17.503982999999966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8D6-934B-5D8E0316888E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25.674084760945568</c:v>
                </c:pt>
                <c:pt idx="1">
                  <c:v>25.708277273414776</c:v>
                </c:pt>
                <c:pt idx="2">
                  <c:v>25.993826518026623</c:v>
                </c:pt>
                <c:pt idx="3">
                  <c:v>26.387126441052317</c:v>
                </c:pt>
                <c:pt idx="4">
                  <c:v>26.741809949597052</c:v>
                </c:pt>
                <c:pt idx="5">
                  <c:v>27.076792371318852</c:v>
                </c:pt>
                <c:pt idx="6">
                  <c:v>27.411531400425353</c:v>
                </c:pt>
                <c:pt idx="7">
                  <c:v>27.745981317113102</c:v>
                </c:pt>
                <c:pt idx="8">
                  <c:v>28.080096746330547</c:v>
                </c:pt>
                <c:pt idx="9">
                  <c:v>28.41383266201084</c:v>
                </c:pt>
                <c:pt idx="10">
                  <c:v>28.747144391198582</c:v>
                </c:pt>
                <c:pt idx="11">
                  <c:v>29.079987618070845</c:v>
                </c:pt>
                <c:pt idx="12">
                  <c:v>29.412318387851968</c:v>
                </c:pt>
                <c:pt idx="13">
                  <c:v>29.74409311062233</c:v>
                </c:pt>
                <c:pt idx="14">
                  <c:v>30.07526856502119</c:v>
                </c:pt>
                <c:pt idx="15">
                  <c:v>30.405801901843596</c:v>
                </c:pt>
                <c:pt idx="16">
                  <c:v>30.735650647531472</c:v>
                </c:pt>
                <c:pt idx="17">
                  <c:v>31.064772707558955</c:v>
                </c:pt>
                <c:pt idx="18">
                  <c:v>31.393126369712437</c:v>
                </c:pt>
                <c:pt idx="19">
                  <c:v>31.720670307265102</c:v>
                </c:pt>
                <c:pt idx="20">
                  <c:v>32.047363582046685</c:v>
                </c:pt>
                <c:pt idx="21">
                  <c:v>32.373165647408293</c:v>
                </c:pt>
                <c:pt idx="22">
                  <c:v>32.698036351082941</c:v>
                </c:pt>
                <c:pt idx="23">
                  <c:v>33.021935937942011</c:v>
                </c:pt>
                <c:pt idx="24">
                  <c:v>33.344825052647998</c:v>
                </c:pt>
                <c:pt idx="25">
                  <c:v>33.666664742203942</c:v>
                </c:pt>
                <c:pt idx="26">
                  <c:v>33.987416458400212</c:v>
                </c:pt>
                <c:pt idx="27">
                  <c:v>34.30704206015875</c:v>
                </c:pt>
                <c:pt idx="28">
                  <c:v>34.625503815775609</c:v>
                </c:pt>
                <c:pt idx="29">
                  <c:v>34.942764405062185</c:v>
                </c:pt>
                <c:pt idx="30">
                  <c:v>35.258786921385649</c:v>
                </c:pt>
                <c:pt idx="31">
                  <c:v>35.573534873609319</c:v>
                </c:pt>
                <c:pt idx="32">
                  <c:v>35.886972187933402</c:v>
                </c:pt>
                <c:pt idx="33">
                  <c:v>36.199063209637004</c:v>
                </c:pt>
                <c:pt idx="34">
                  <c:v>36.509772704721811</c:v>
                </c:pt>
                <c:pt idx="35">
                  <c:v>36.819065861458292</c:v>
                </c:pt>
                <c:pt idx="36">
                  <c:v>37.126908291835221</c:v>
                </c:pt>
                <c:pt idx="37">
                  <c:v>37.433266032912925</c:v>
                </c:pt>
                <c:pt idx="38">
                  <c:v>37.738105548081577</c:v>
                </c:pt>
                <c:pt idx="39">
                  <c:v>38.04139372822479</c:v>
                </c:pt>
                <c:pt idx="40">
                  <c:v>38.343097892789487</c:v>
                </c:pt>
                <c:pt idx="41">
                  <c:v>38.643185790763333</c:v>
                </c:pt>
                <c:pt idx="42">
                  <c:v>38.941625601559636</c:v>
                </c:pt>
                <c:pt idx="43">
                  <c:v>39.238385935811699</c:v>
                </c:pt>
                <c:pt idx="44">
                  <c:v>39.533435836076514</c:v>
                </c:pt>
                <c:pt idx="45">
                  <c:v>39.826744777449598</c:v>
                </c:pt>
                <c:pt idx="46">
                  <c:v>40.118282668091055</c:v>
                </c:pt>
                <c:pt idx="47">
                  <c:v>40.408019849664619</c:v>
                </c:pt>
                <c:pt idx="48">
                  <c:v>40.69592709769006</c:v>
                </c:pt>
                <c:pt idx="49">
                  <c:v>40.981975621810079</c:v>
                </c:pt>
                <c:pt idx="50">
                  <c:v>41.266137065973048</c:v>
                </c:pt>
                <c:pt idx="51">
                  <c:v>41.548383508531813</c:v>
                </c:pt>
                <c:pt idx="52">
                  <c:v>41.828687462260774</c:v>
                </c:pt>
                <c:pt idx="53">
                  <c:v>42.107021874290901</c:v>
                </c:pt>
                <c:pt idx="54">
                  <c:v>42.383360125964884</c:v>
                </c:pt>
                <c:pt idx="55">
                  <c:v>42.657676032612912</c:v>
                </c:pt>
                <c:pt idx="56">
                  <c:v>42.929943843250186</c:v>
                </c:pt>
                <c:pt idx="57">
                  <c:v>43.200138240197539</c:v>
                </c:pt>
                <c:pt idx="58">
                  <c:v>43.468234338625798</c:v>
                </c:pt>
                <c:pt idx="59">
                  <c:v>43.734207686025591</c:v>
                </c:pt>
                <c:pt idx="60">
                  <c:v>43.998034261603202</c:v>
                </c:pt>
                <c:pt idx="61">
                  <c:v>44.25969047560374</c:v>
                </c:pt>
                <c:pt idx="62">
                  <c:v>44.519153168563037</c:v>
                </c:pt>
                <c:pt idx="63">
                  <c:v>44.774170616663127</c:v>
                </c:pt>
                <c:pt idx="64">
                  <c:v>45.022469785388687</c:v>
                </c:pt>
                <c:pt idx="65">
                  <c:v>45.264000866467988</c:v>
                </c:pt>
                <c:pt idx="66">
                  <c:v>45.498716349908641</c:v>
                </c:pt>
                <c:pt idx="67">
                  <c:v>45.724505288550432</c:v>
                </c:pt>
                <c:pt idx="68">
                  <c:v>45.939242795791998</c:v>
                </c:pt>
                <c:pt idx="69">
                  <c:v>46.139177802959288</c:v>
                </c:pt>
                <c:pt idx="70">
                  <c:v>46.320541336185784</c:v>
                </c:pt>
                <c:pt idx="71">
                  <c:v>46.483261058658805</c:v>
                </c:pt>
                <c:pt idx="72">
                  <c:v>46.627277951807102</c:v>
                </c:pt>
                <c:pt idx="73">
                  <c:v>46.752546200523504</c:v>
                </c:pt>
                <c:pt idx="74">
                  <c:v>46.859033074096303</c:v>
                </c:pt>
                <c:pt idx="75">
                  <c:v>46.946718803082675</c:v>
                </c:pt>
                <c:pt idx="76">
                  <c:v>47.015596452354451</c:v>
                </c:pt>
                <c:pt idx="77">
                  <c:v>47.065671790545615</c:v>
                </c:pt>
                <c:pt idx="78">
                  <c:v>47.096963156130471</c:v>
                </c:pt>
                <c:pt idx="79">
                  <c:v>47.109501320356557</c:v>
                </c:pt>
                <c:pt idx="80">
                  <c:v>47.103329347257201</c:v>
                </c:pt>
                <c:pt idx="81">
                  <c:v>47.082939340139845</c:v>
                </c:pt>
                <c:pt idx="82">
                  <c:v>47.052816015804517</c:v>
                </c:pt>
                <c:pt idx="83">
                  <c:v>47.012996164106838</c:v>
                </c:pt>
                <c:pt idx="84">
                  <c:v>46.96351973637001</c:v>
                </c:pt>
                <c:pt idx="85">
                  <c:v>46.904429805231629</c:v>
                </c:pt>
                <c:pt idx="86">
                  <c:v>46.835772524417429</c:v>
                </c:pt>
                <c:pt idx="87">
                  <c:v>46.757597088468884</c:v>
                </c:pt>
                <c:pt idx="88">
                  <c:v>46.669955692452085</c:v>
                </c:pt>
                <c:pt idx="89">
                  <c:v>46.574297374938688</c:v>
                </c:pt>
                <c:pt idx="90">
                  <c:v>46.472063576554113</c:v>
                </c:pt>
                <c:pt idx="91">
                  <c:v>46.363296243896137</c:v>
                </c:pt>
                <c:pt idx="92">
                  <c:v>46.248038683127859</c:v>
                </c:pt>
                <c:pt idx="93">
                  <c:v>46.126682305898449</c:v>
                </c:pt>
                <c:pt idx="94">
                  <c:v>45.999616833781545</c:v>
                </c:pt>
                <c:pt idx="95">
                  <c:v>45.866884286257161</c:v>
                </c:pt>
                <c:pt idx="96">
                  <c:v>45.728527688249955</c:v>
                </c:pt>
                <c:pt idx="97">
                  <c:v>45.58596969554727</c:v>
                </c:pt>
                <c:pt idx="98">
                  <c:v>45.440620583162527</c:v>
                </c:pt>
                <c:pt idx="99">
                  <c:v>45.292503637383369</c:v>
                </c:pt>
                <c:pt idx="100">
                  <c:v>45.141642348117763</c:v>
                </c:pt>
                <c:pt idx="101">
                  <c:v>44.98806040549713</c:v>
                </c:pt>
                <c:pt idx="102">
                  <c:v>44.831781696526143</c:v>
                </c:pt>
                <c:pt idx="103">
                  <c:v>44.672830301779769</c:v>
                </c:pt>
                <c:pt idx="104">
                  <c:v>44.511230492147106</c:v>
                </c:pt>
                <c:pt idx="105">
                  <c:v>44.347006725622677</c:v>
                </c:pt>
                <c:pt idx="106">
                  <c:v>44.180183644144968</c:v>
                </c:pt>
                <c:pt idx="107">
                  <c:v>44.010786070482631</c:v>
                </c:pt>
                <c:pt idx="108">
                  <c:v>43.838839005168012</c:v>
                </c:pt>
                <c:pt idx="109">
                  <c:v>43.666052709404298</c:v>
                </c:pt>
                <c:pt idx="110">
                  <c:v>43.494118601108681</c:v>
                </c:pt>
                <c:pt idx="111">
                  <c:v>43.323031108326553</c:v>
                </c:pt>
                <c:pt idx="112">
                  <c:v>43.152784704950278</c:v>
                </c:pt>
                <c:pt idx="113">
                  <c:v>42.983373910265975</c:v>
                </c:pt>
                <c:pt idx="114">
                  <c:v>42.814793288505506</c:v>
                </c:pt>
                <c:pt idx="115">
                  <c:v>42.647037448403601</c:v>
                </c:pt>
                <c:pt idx="116">
                  <c:v>42.480101042760175</c:v>
                </c:pt>
                <c:pt idx="117">
                  <c:v>42.313978768007594</c:v>
                </c:pt>
                <c:pt idx="118">
                  <c:v>42.148665363782911</c:v>
                </c:pt>
                <c:pt idx="119">
                  <c:v>41.98415561250502</c:v>
                </c:pt>
                <c:pt idx="120">
                  <c:v>41.820444338956563</c:v>
                </c:pt>
                <c:pt idx="121">
                  <c:v>41.657526409870783</c:v>
                </c:pt>
                <c:pt idx="122">
                  <c:v>41.495396733522988</c:v>
                </c:pt>
                <c:pt idx="123">
                  <c:v>41.334050259326467</c:v>
                </c:pt>
                <c:pt idx="124">
                  <c:v>41.173481977433418</c:v>
                </c:pt>
                <c:pt idx="125">
                  <c:v>41.013686918339943</c:v>
                </c:pt>
                <c:pt idx="126">
                  <c:v>40.854660152495917</c:v>
                </c:pt>
                <c:pt idx="127">
                  <c:v>40.6963967899189</c:v>
                </c:pt>
                <c:pt idx="128">
                  <c:v>40.538891979812753</c:v>
                </c:pt>
                <c:pt idx="129">
                  <c:v>40.382140910190209</c:v>
                </c:pt>
                <c:pt idx="130">
                  <c:v>40.226138807499986</c:v>
                </c:pt>
                <c:pt idx="131">
                  <c:v>40.070880936257858</c:v>
                </c:pt>
                <c:pt idx="132">
                  <c:v>39.916362598682028</c:v>
                </c:pt>
                <c:pt idx="133">
                  <c:v>39.762579134332455</c:v>
                </c:pt>
                <c:pt idx="134">
                  <c:v>39.609525919754283</c:v>
                </c:pt>
                <c:pt idx="135">
                  <c:v>39.457198368125226</c:v>
                </c:pt>
                <c:pt idx="136">
                  <c:v>39.3055919289069</c:v>
                </c:pt>
                <c:pt idx="137">
                  <c:v>39.154702087499984</c:v>
                </c:pt>
                <c:pt idx="138">
                  <c:v>39.00452436490319</c:v>
                </c:pt>
                <c:pt idx="139">
                  <c:v>38.855054317376187</c:v>
                </c:pt>
                <c:pt idx="140">
                  <c:v>38.706287536105968</c:v>
                </c:pt>
                <c:pt idx="141">
                  <c:v>38.558219646877134</c:v>
                </c:pt>
                <c:pt idx="142">
                  <c:v>38.410846309745779</c:v>
                </c:pt>
                <c:pt idx="143">
                  <c:v>38.264163218716831</c:v>
                </c:pt>
                <c:pt idx="144">
                  <c:v>38.118166101425047</c:v>
                </c:pt>
                <c:pt idx="145">
                  <c:v>37.972850718819586</c:v>
                </c:pt>
                <c:pt idx="146">
                  <c:v>37.828212864851849</c:v>
                </c:pt>
                <c:pt idx="147">
                  <c:v>37.684248366166834</c:v>
                </c:pt>
                <c:pt idx="148">
                  <c:v>37.540953081797916</c:v>
                </c:pt>
                <c:pt idx="149">
                  <c:v>37.398322902864805</c:v>
                </c:pt>
                <c:pt idx="150">
                  <c:v>37.256353752275039</c:v>
                </c:pt>
                <c:pt idx="151">
                  <c:v>37.115041584428404</c:v>
                </c:pt>
                <c:pt idx="152">
                  <c:v>36.974382384924795</c:v>
                </c:pt>
                <c:pt idx="153">
                  <c:v>36.83437217027523</c:v>
                </c:pt>
                <c:pt idx="154">
                  <c:v>36.695006987615805</c:v>
                </c:pt>
                <c:pt idx="155">
                  <c:v>36.556282914425005</c:v>
                </c:pt>
                <c:pt idx="156">
                  <c:v>36.418196058243829</c:v>
                </c:pt>
                <c:pt idx="157">
                  <c:v>36.280742556399098</c:v>
                </c:pt>
                <c:pt idx="158">
                  <c:v>36.143918575729614</c:v>
                </c:pt>
                <c:pt idx="159">
                  <c:v>36.00772031231535</c:v>
                </c:pt>
                <c:pt idx="160">
                  <c:v>35.872143991209462</c:v>
                </c:pt>
                <c:pt idx="161">
                  <c:v>35.73718586617327</c:v>
                </c:pt>
                <c:pt idx="162">
                  <c:v>35.602842219413958</c:v>
                </c:pt>
                <c:pt idx="163">
                  <c:v>35.469109361325216</c:v>
                </c:pt>
                <c:pt idx="164">
                  <c:v>35.335983630230423</c:v>
                </c:pt>
                <c:pt idx="165">
                  <c:v>35.203461392128787</c:v>
                </c:pt>
                <c:pt idx="166">
                  <c:v>35.071539040444108</c:v>
                </c:pt>
                <c:pt idx="167">
                  <c:v>34.940212995776115</c:v>
                </c:pt>
                <c:pt idx="168">
                  <c:v>34.809479705654525</c:v>
                </c:pt>
                <c:pt idx="169">
                  <c:v>34.679335644295783</c:v>
                </c:pt>
                <c:pt idx="170">
                  <c:v>34.549777312362089</c:v>
                </c:pt>
                <c:pt idx="171">
                  <c:v>34.420801236723307</c:v>
                </c:pt>
                <c:pt idx="172">
                  <c:v>34.292403970221152</c:v>
                </c:pt>
                <c:pt idx="173">
                  <c:v>34.164582091435882</c:v>
                </c:pt>
                <c:pt idx="174">
                  <c:v>34.037332204455559</c:v>
                </c:pt>
                <c:pt idx="175">
                  <c:v>33.910650938647635</c:v>
                </c:pt>
                <c:pt idx="176">
                  <c:v>33.784534948432842</c:v>
                </c:pt>
                <c:pt idx="177">
                  <c:v>33.658980913061662</c:v>
                </c:pt>
                <c:pt idx="178">
                  <c:v>33.533985536392919</c:v>
                </c:pt>
                <c:pt idx="179">
                  <c:v>33.409545546674771</c:v>
                </c:pt>
                <c:pt idx="180">
                  <c:v>33.285657696328045</c:v>
                </c:pt>
                <c:pt idx="181">
                  <c:v>33.162318761731619</c:v>
                </c:pt>
                <c:pt idx="182">
                  <c:v>33.039525543010278</c:v>
                </c:pt>
                <c:pt idx="183">
                  <c:v>32.917274863824538</c:v>
                </c:pt>
                <c:pt idx="184">
                  <c:v>32.795563571162816</c:v>
                </c:pt>
                <c:pt idx="185">
                  <c:v>32.674388535135684</c:v>
                </c:pt>
                <c:pt idx="186">
                  <c:v>32.553746648772119</c:v>
                </c:pt>
                <c:pt idx="187">
                  <c:v>32.433634827818118</c:v>
                </c:pt>
                <c:pt idx="188">
                  <c:v>32.314050010537152</c:v>
                </c:pt>
                <c:pt idx="189">
                  <c:v>32.19498915751268</c:v>
                </c:pt>
                <c:pt idx="190">
                  <c:v>32.076449251452857</c:v>
                </c:pt>
                <c:pt idx="191">
                  <c:v>31.958427296997105</c:v>
                </c:pt>
                <c:pt idx="192">
                  <c:v>31.840920320524599</c:v>
                </c:pt>
                <c:pt idx="193">
                  <c:v>31.723925369964864</c:v>
                </c:pt>
                <c:pt idx="194">
                  <c:v>31.60743951461026</c:v>
                </c:pt>
                <c:pt idx="195">
                  <c:v>31.491459844930272</c:v>
                </c:pt>
                <c:pt idx="196">
                  <c:v>31.375983472387752</c:v>
                </c:pt>
                <c:pt idx="197">
                  <c:v>31.261007529257061</c:v>
                </c:pt>
                <c:pt idx="198">
                  <c:v>31.14652916844399</c:v>
                </c:pt>
                <c:pt idx="199">
                  <c:v>31.032545563307583</c:v>
                </c:pt>
                <c:pt idx="200">
                  <c:v>30.919053907483569</c:v>
                </c:pt>
                <c:pt idx="201">
                  <c:v>29.799486898324425</c:v>
                </c:pt>
                <c:pt idx="202">
                  <c:v>28.727294212717638</c:v>
                </c:pt>
                <c:pt idx="203">
                  <c:v>27.699874125837741</c:v>
                </c:pt>
                <c:pt idx="204">
                  <c:v>26.714803577802428</c:v>
                </c:pt>
                <c:pt idx="205">
                  <c:v>25.769823600575851</c:v>
                </c:pt>
                <c:pt idx="206">
                  <c:v>24.862826118699783</c:v>
                </c:pt>
                <c:pt idx="207">
                  <c:v>23.99184197739665</c:v>
                </c:pt>
                <c:pt idx="208">
                  <c:v>23.155030068963043</c:v>
                </c:pt>
                <c:pt idx="209">
                  <c:v>22.350667443482241</c:v>
                </c:pt>
                <c:pt idx="210">
                  <c:v>21.577140303050676</c:v>
                </c:pt>
                <c:pt idx="211">
                  <c:v>20.832935790206847</c:v>
                </c:pt>
                <c:pt idx="212">
                  <c:v>20.11663449130571</c:v>
                </c:pt>
                <c:pt idx="213">
                  <c:v>19.426903584389855</c:v>
                </c:pt>
                <c:pt idx="214">
                  <c:v>18.762490568841951</c:v>
                </c:pt>
                <c:pt idx="215">
                  <c:v>18.122217520902062</c:v>
                </c:pt>
                <c:pt idx="216">
                  <c:v>17.504975825121132</c:v>
                </c:pt>
                <c:pt idx="217">
                  <c:v>16.909721337105896</c:v>
                </c:pt>
                <c:pt idx="218">
                  <c:v>16.335469937577042</c:v>
                </c:pt>
                <c:pt idx="219">
                  <c:v>15.781293441894507</c:v>
                </c:pt>
                <c:pt idx="220">
                  <c:v>15.246315832863814</c:v>
                </c:pt>
                <c:pt idx="221">
                  <c:v>14.729709787887778</c:v>
                </c:pt>
                <c:pt idx="222">
                  <c:v>14.230693474415654</c:v>
                </c:pt>
                <c:pt idx="223">
                  <c:v>13.748527590213234</c:v>
                </c:pt>
                <c:pt idx="224">
                  <c:v>13.282512627268904</c:v>
                </c:pt>
                <c:pt idx="225">
                  <c:v>12.831986340195781</c:v>
                </c:pt>
                <c:pt idx="226">
                  <c:v>12.396321401818211</c:v>
                </c:pt>
                <c:pt idx="227">
                  <c:v>11.974923230266231</c:v>
                </c:pt>
                <c:pt idx="228">
                  <c:v>11.567227973367267</c:v>
                </c:pt>
                <c:pt idx="229">
                  <c:v>11.172700637438577</c:v>
                </c:pt>
                <c:pt idx="230">
                  <c:v>10.790833348764702</c:v>
                </c:pt>
                <c:pt idx="231">
                  <c:v>10.421143737105659</c:v>
                </c:pt>
                <c:pt idx="232">
                  <c:v>10.063173431537122</c:v>
                </c:pt>
                <c:pt idx="233">
                  <c:v>9.716486659784799</c:v>
                </c:pt>
                <c:pt idx="234">
                  <c:v>9.3806689429924486</c:v>
                </c:pt>
                <c:pt idx="235">
                  <c:v>9.0553258785641066</c:v>
                </c:pt>
                <c:pt idx="236">
                  <c:v>8.7400820043558802</c:v>
                </c:pt>
                <c:pt idx="237">
                  <c:v>8.4345797380662244</c:v>
                </c:pt>
                <c:pt idx="238">
                  <c:v>8.138478386194139</c:v>
                </c:pt>
                <c:pt idx="239">
                  <c:v>7.8514532174058891</c:v>
                </c:pt>
                <c:pt idx="240">
                  <c:v>7.5731945955791886</c:v>
                </c:pt>
                <c:pt idx="241">
                  <c:v>7.3034071681824946</c:v>
                </c:pt>
                <c:pt idx="242">
                  <c:v>7.0418091060008221</c:v>
                </c:pt>
                <c:pt idx="243">
                  <c:v>6.7881313905413094</c:v>
                </c:pt>
                <c:pt idx="244">
                  <c:v>6.5421171457451006</c:v>
                </c:pt>
                <c:pt idx="245">
                  <c:v>6.3035210108994502</c:v>
                </c:pt>
                <c:pt idx="246">
                  <c:v>6.0721085518880313</c:v>
                </c:pt>
                <c:pt idx="247">
                  <c:v>5.8476557081402651</c:v>
                </c:pt>
                <c:pt idx="248">
                  <c:v>5.6299482728442847</c:v>
                </c:pt>
                <c:pt idx="249">
                  <c:v>5.4187814041745215</c:v>
                </c:pt>
                <c:pt idx="250">
                  <c:v>5.2139591654555639</c:v>
                </c:pt>
                <c:pt idx="251">
                  <c:v>5.0152940923403193</c:v>
                </c:pt>
                <c:pt idx="252">
                  <c:v>4.8226067852238694</c:v>
                </c:pt>
                <c:pt idx="253">
                  <c:v>4.6357255252460599</c:v>
                </c:pt>
                <c:pt idx="254">
                  <c:v>4.4544859123565868</c:v>
                </c:pt>
                <c:pt idx="255">
                  <c:v>4.2787305240274867</c:v>
                </c:pt>
                <c:pt idx="256">
                  <c:v>4.1083085932999177</c:v>
                </c:pt>
                <c:pt idx="257">
                  <c:v>3.9430757049461547</c:v>
                </c:pt>
                <c:pt idx="258">
                  <c:v>3.7828935086141633</c:v>
                </c:pt>
                <c:pt idx="259">
                  <c:v>3.6276294479017901</c:v>
                </c:pt>
                <c:pt idx="260">
                  <c:v>3.4771565043810253</c:v>
                </c:pt>
                <c:pt idx="261">
                  <c:v>3.3313529556605657</c:v>
                </c:pt>
                <c:pt idx="262">
                  <c:v>3.1901021466372579</c:v>
                </c:pt>
                <c:pt idx="263">
                  <c:v>3.0532922731447742</c:v>
                </c:pt>
                <c:pt idx="264">
                  <c:v>2.9208161772609476</c:v>
                </c:pt>
                <c:pt idx="265">
                  <c:v>2.7925711535844226</c:v>
                </c:pt>
                <c:pt idx="266">
                  <c:v>2.6684587658365073</c:v>
                </c:pt>
                <c:pt idx="267">
                  <c:v>2.5483846731860478</c:v>
                </c:pt>
                <c:pt idx="268">
                  <c:v>2.4322584657336752</c:v>
                </c:pt>
                <c:pt idx="269">
                  <c:v>2.3199935086274173</c:v>
                </c:pt>
                <c:pt idx="270">
                  <c:v>2.2115067943143774</c:v>
                </c:pt>
                <c:pt idx="271">
                  <c:v>2.1067188024633583</c:v>
                </c:pt>
                <c:pt idx="272">
                  <c:v>2.0055533671208932</c:v>
                </c:pt>
                <c:pt idx="273">
                  <c:v>1.9079375506884477</c:v>
                </c:pt>
                <c:pt idx="274">
                  <c:v>1.8138015243315162</c:v>
                </c:pt>
                <c:pt idx="275">
                  <c:v>1.7230784544521971</c:v>
                </c:pt>
                <c:pt idx="276">
                  <c:v>1.6357043948754804</c:v>
                </c:pt>
                <c:pt idx="277">
                  <c:v>1.551618184416089</c:v>
                </c:pt>
                <c:pt idx="278">
                  <c:v>1.4707613495072196</c:v>
                </c:pt>
                <c:pt idx="279">
                  <c:v>1.393078011584876</c:v>
                </c:pt>
                <c:pt idx="280">
                  <c:v>1.3185147989316979</c:v>
                </c:pt>
                <c:pt idx="281">
                  <c:v>1.2470207626920962</c:v>
                </c:pt>
                <c:pt idx="282">
                  <c:v>1.1785472967760047</c:v>
                </c:pt>
                <c:pt idx="283">
                  <c:v>1.1130480613715374</c:v>
                </c:pt>
                <c:pt idx="284">
                  <c:v>1.050478909786938</c:v>
                </c:pt>
                <c:pt idx="285">
                  <c:v>0.99079781833937219</c:v>
                </c:pt>
                <c:pt idx="286">
                  <c:v>0.93396481900187156</c:v>
                </c:pt>
                <c:pt idx="287">
                  <c:v>0.87994193450989222</c:v>
                </c:pt>
                <c:pt idx="288">
                  <c:v>0.82869311561504366</c:v>
                </c:pt>
                <c:pt idx="289">
                  <c:v>0.78018418015535995</c:v>
                </c:pt>
                <c:pt idx="290">
                  <c:v>0.73438275358860194</c:v>
                </c:pt>
                <c:pt idx="291">
                  <c:v>0.69125821060736603</c:v>
                </c:pt>
                <c:pt idx="292">
                  <c:v>0.65078161742224272</c:v>
                </c:pt>
                <c:pt idx="293">
                  <c:v>0.6129256742621273</c:v>
                </c:pt>
                <c:pt idx="294">
                  <c:v>0.57766465759995533</c:v>
                </c:pt>
                <c:pt idx="295">
                  <c:v>0.54497436156897205</c:v>
                </c:pt>
                <c:pt idx="296">
                  <c:v>0.51483203799170008</c:v>
                </c:pt>
                <c:pt idx="297">
                  <c:v>0.48721633440464696</c:v>
                </c:pt>
                <c:pt idx="298">
                  <c:v>0.4621072294317668</c:v>
                </c:pt>
                <c:pt idx="299">
                  <c:v>0.43948596484565078</c:v>
                </c:pt>
                <c:pt idx="300">
                  <c:v>0.41933497366596711</c:v>
                </c:pt>
                <c:pt idx="301">
                  <c:v>0.40163780368977031</c:v>
                </c:pt>
                <c:pt idx="302">
                  <c:v>0.38637903593819045</c:v>
                </c:pt>
                <c:pt idx="303">
                  <c:v>0.37354419764787983</c:v>
                </c:pt>
                <c:pt idx="304">
                  <c:v>0.36311966963901637</c:v>
                </c:pt>
                <c:pt idx="305">
                  <c:v>0.35509258815413108</c:v>
                </c:pt>
                <c:pt idx="306">
                  <c:v>0.3494507415741881</c:v>
                </c:pt>
                <c:pt idx="307">
                  <c:v>0.34618246276045594</c:v>
                </c:pt>
                <c:pt idx="308">
                  <c:v>0.34527651811307708</c:v>
                </c:pt>
                <c:pt idx="309">
                  <c:v>0.3467219947432883</c:v>
                </c:pt>
                <c:pt idx="310">
                  <c:v>0.35050818738829853</c:v>
                </c:pt>
                <c:pt idx="311">
                  <c:v>0.35662448682462222</c:v>
                </c:pt>
                <c:pt idx="312">
                  <c:v>0.365060271539071</c:v>
                </c:pt>
                <c:pt idx="313">
                  <c:v>0.37580480429615454</c:v>
                </c:pt>
                <c:pt idx="314">
                  <c:v>0.38884713501353602</c:v>
                </c:pt>
                <c:pt idx="315">
                  <c:v>0.40417601105431672</c:v>
                </c:pt>
                <c:pt idx="316">
                  <c:v>0.42177979570397256</c:v>
                </c:pt>
                <c:pt idx="317">
                  <c:v>0.44164639525785887</c:v>
                </c:pt>
                <c:pt idx="318">
                  <c:v>0.46376319483269313</c:v>
                </c:pt>
                <c:pt idx="319">
                  <c:v>0.4881170027528533</c:v>
                </c:pt>
                <c:pt idx="320">
                  <c:v>0.51469400315951574</c:v>
                </c:pt>
                <c:pt idx="321">
                  <c:v>0.54347971634856251</c:v>
                </c:pt>
                <c:pt idx="322">
                  <c:v>0.57445896625618165</c:v>
                </c:pt>
                <c:pt idx="323">
                  <c:v>0.60761585447005206</c:v>
                </c:pt>
                <c:pt idx="324">
                  <c:v>0.64293374013843385</c:v>
                </c:pt>
                <c:pt idx="325">
                  <c:v>0.68039522516922502</c:v>
                </c:pt>
                <c:pt idx="326">
                  <c:v>0.71998214414737005</c:v>
                </c:pt>
                <c:pt idx="327">
                  <c:v>0.76167555844475487</c:v>
                </c:pt>
                <c:pt idx="328">
                  <c:v>0.80545575404667602</c:v>
                </c:pt>
                <c:pt idx="329">
                  <c:v>0.8513022426693011</c:v>
                </c:pt>
                <c:pt idx="330">
                  <c:v>0.89919376579087174</c:v>
                </c:pt>
                <c:pt idx="331">
                  <c:v>0.94910830126419665</c:v>
                </c:pt>
                <c:pt idx="332">
                  <c:v>1.0010230722185631</c:v>
                </c:pt>
                <c:pt idx="333">
                  <c:v>1.0549145579952346</c:v>
                </c:pt>
                <c:pt idx="334">
                  <c:v>1.1107585068923493</c:v>
                </c:pt>
                <c:pt idx="335">
                  <c:v>1.1685299505224733</c:v>
                </c:pt>
                <c:pt idx="336">
                  <c:v>1.228203219609733</c:v>
                </c:pt>
                <c:pt idx="337">
                  <c:v>1.2897519610737018</c:v>
                </c:pt>
                <c:pt idx="338">
                  <c:v>1.3531491562645153</c:v>
                </c:pt>
                <c:pt idx="339">
                  <c:v>1.4183671402284044</c:v>
                </c:pt>
                <c:pt idx="340">
                  <c:v>1.4853776218953345</c:v>
                </c:pt>
                <c:pt idx="341">
                  <c:v>1.5541517050910536</c:v>
                </c:pt>
                <c:pt idx="342">
                  <c:v>1.6246599102848935</c:v>
                </c:pt>
                <c:pt idx="343">
                  <c:v>1.6968721969923326</c:v>
                </c:pt>
                <c:pt idx="344">
                  <c:v>1.770757986757878</c:v>
                </c:pt>
                <c:pt idx="345">
                  <c:v>1.8462861866494553</c:v>
                </c:pt>
                <c:pt idx="346">
                  <c:v>1.9234252132002887</c:v>
                </c:pt>
                <c:pt idx="347">
                  <c:v>2.0021430167384269</c:v>
                </c:pt>
                <c:pt idx="348">
                  <c:v>2.0824071060477016</c:v>
                </c:pt>
                <c:pt idx="349">
                  <c:v>2.1641845733070499</c:v>
                </c:pt>
                <c:pt idx="350">
                  <c:v>2.2474421192579515</c:v>
                </c:pt>
                <c:pt idx="351">
                  <c:v>2.3321460785522028</c:v>
                </c:pt>
                <c:pt idx="352">
                  <c:v>2.418262445234507</c:v>
                </c:pt>
                <c:pt idx="353">
                  <c:v>2.5057568983163492</c:v>
                </c:pt>
                <c:pt idx="354">
                  <c:v>2.5945948273995398</c:v>
                </c:pt>
                <c:pt idx="355">
                  <c:v>2.6847413583094912</c:v>
                </c:pt>
                <c:pt idx="356">
                  <c:v>2.7761613786999098</c:v>
                </c:pt>
                <c:pt idx="357">
                  <c:v>2.8688195635921265</c:v>
                </c:pt>
                <c:pt idx="358">
                  <c:v>2.9626804008137277</c:v>
                </c:pt>
                <c:pt idx="359">
                  <c:v>3.0577082163025309</c:v>
                </c:pt>
                <c:pt idx="360">
                  <c:v>3.1538671992433107</c:v>
                </c:pt>
                <c:pt idx="361">
                  <c:v>3.2511214270059963</c:v>
                </c:pt>
                <c:pt idx="362">
                  <c:v>3.3494348898553099</c:v>
                </c:pt>
                <c:pt idx="363">
                  <c:v>3.4487715154031511</c:v>
                </c:pt>
                <c:pt idx="364">
                  <c:v>3.549095192776178</c:v>
                </c:pt>
                <c:pt idx="365">
                  <c:v>3.6503697964723534</c:v>
                </c:pt>
                <c:pt idx="366">
                  <c:v>3.752559209881396</c:v>
                </c:pt>
                <c:pt idx="367">
                  <c:v>3.8556273484453292</c:v>
                </c:pt>
                <c:pt idx="368">
                  <c:v>3.9595381824364546</c:v>
                </c:pt>
                <c:pt idx="369">
                  <c:v>4.0642557593313766</c:v>
                </c:pt>
                <c:pt idx="370">
                  <c:v>4.1697442257608026</c:v>
                </c:pt>
                <c:pt idx="371">
                  <c:v>4.2759678490160935</c:v>
                </c:pt>
                <c:pt idx="372">
                  <c:v>4.3828910380946935</c:v>
                </c:pt>
                <c:pt idx="373">
                  <c:v>4.4904783642677337</c:v>
                </c:pt>
                <c:pt idx="374">
                  <c:v>4.5986945811542821</c:v>
                </c:pt>
                <c:pt idx="375">
                  <c:v>4.7075046442878818</c:v>
                </c:pt>
                <c:pt idx="376">
                  <c:v>4.8168737301621265</c:v>
                </c:pt>
                <c:pt idx="377">
                  <c:v>4.9267672547431571</c:v>
                </c:pt>
                <c:pt idx="378">
                  <c:v>5.0371508914381611</c:v>
                </c:pt>
                <c:pt idx="379">
                  <c:v>5.1479905885099422</c:v>
                </c:pt>
                <c:pt idx="380">
                  <c:v>5.2592525859288042</c:v>
                </c:pt>
                <c:pt idx="381">
                  <c:v>5.3709034316540523</c:v>
                </c:pt>
                <c:pt idx="382">
                  <c:v>5.4829099973384166</c:v>
                </c:pt>
                <c:pt idx="383">
                  <c:v>5.5952394934498146</c:v>
                </c:pt>
                <c:pt idx="384">
                  <c:v>5.7078594838058638</c:v>
                </c:pt>
                <c:pt idx="385">
                  <c:v>5.8207378995174492</c:v>
                </c:pt>
                <c:pt idx="386">
                  <c:v>5.9338430523388173</c:v>
                </c:pt>
                <c:pt idx="387">
                  <c:v>6.0471436474223648</c:v>
                </c:pt>
                <c:pt idx="388">
                  <c:v>6.1606087954774722</c:v>
                </c:pt>
                <c:pt idx="389">
                  <c:v>6.274208024333368</c:v>
                </c:pt>
                <c:pt idx="390">
                  <c:v>6.3879112899070947</c:v>
                </c:pt>
                <c:pt idx="391">
                  <c:v>6.5016889865782908</c:v>
                </c:pt>
                <c:pt idx="392">
                  <c:v>6.6155119569735188</c:v>
                </c:pt>
                <c:pt idx="393">
                  <c:v>6.7293515011633902</c:v>
                </c:pt>
                <c:pt idx="394">
                  <c:v>6.8431793852767493</c:v>
                </c:pt>
                <c:pt idx="395">
                  <c:v>6.9569678495367073</c:v>
                </c:pt>
                <c:pt idx="396">
                  <c:v>7.0706896157240635</c:v>
                </c:pt>
                <c:pt idx="397">
                  <c:v>7.1843178940743444</c:v>
                </c:pt>
                <c:pt idx="398">
                  <c:v>7.2978263896151949</c:v>
                </c:pt>
                <c:pt idx="399">
                  <c:v>7.4111893079516618</c:v>
                </c:pt>
                <c:pt idx="400">
                  <c:v>7.5243813605071752</c:v>
                </c:pt>
                <c:pt idx="401">
                  <c:v>7.6373777692288023</c:v>
                </c:pt>
                <c:pt idx="402">
                  <c:v>7.7501542707657576</c:v>
                </c:pt>
                <c:pt idx="403">
                  <c:v>7.8626871201305955</c:v>
                </c:pt>
                <c:pt idx="404">
                  <c:v>7.9749530938528999</c:v>
                </c:pt>
                <c:pt idx="405">
                  <c:v>8.0869294926358801</c:v>
                </c:pt>
                <c:pt idx="406">
                  <c:v>8.198594143526357</c:v>
                </c:pt>
                <c:pt idx="407">
                  <c:v>8.3099254016092736</c:v>
                </c:pt>
                <c:pt idx="408">
                  <c:v>8.4209021512378612</c:v>
                </c:pt>
                <c:pt idx="409">
                  <c:v>8.5315038068111519</c:v>
                </c:pt>
                <c:pt idx="410">
                  <c:v>8.6417103131105986</c:v>
                </c:pt>
                <c:pt idx="411">
                  <c:v>8.7515021452078461</c:v>
                </c:pt>
                <c:pt idx="412">
                  <c:v>8.8608603079558605</c:v>
                </c:pt>
                <c:pt idx="413">
                  <c:v>8.9697663350758976</c:v>
                </c:pt>
                <c:pt idx="414">
                  <c:v>9.0782022878527133</c:v>
                </c:pt>
                <c:pt idx="415">
                  <c:v>9.1861507534507609</c:v>
                </c:pt>
                <c:pt idx="416">
                  <c:v>9.2935948428641293</c:v>
                </c:pt>
                <c:pt idx="417">
                  <c:v>9.4005181885129492</c:v>
                </c:pt>
                <c:pt idx="418">
                  <c:v>9.506904941499192</c:v>
                </c:pt>
                <c:pt idx="419">
                  <c:v>9.6127397685346399</c:v>
                </c:pt>
                <c:pt idx="420">
                  <c:v>9.7180078485540342</c:v>
                </c:pt>
                <c:pt idx="421">
                  <c:v>9.8226948690260691</c:v>
                </c:pt>
                <c:pt idx="422">
                  <c:v>9.9267870219752155</c:v>
                </c:pt>
                <c:pt idx="423">
                  <c:v>10.030270999726968</c:v>
                </c:pt>
                <c:pt idx="424">
                  <c:v>10.133133990389252</c:v>
                </c:pt>
                <c:pt idx="425">
                  <c:v>10.235363673082569</c:v>
                </c:pt>
                <c:pt idx="426">
                  <c:v>10.336948212931295</c:v>
                </c:pt>
                <c:pt idx="427">
                  <c:v>10.437876255828471</c:v>
                </c:pt>
                <c:pt idx="428">
                  <c:v>10.538136922986316</c:v>
                </c:pt>
                <c:pt idx="429">
                  <c:v>10.637719805284435</c:v>
                </c:pt>
                <c:pt idx="430">
                  <c:v>10.736614957427591</c:v>
                </c:pt>
                <c:pt idx="431">
                  <c:v>10.834812891924807</c:v>
                </c:pt>
                <c:pt idx="432">
                  <c:v>10.932304572901167</c:v>
                </c:pt>
                <c:pt idx="433">
                  <c:v>11.029081409753735</c:v>
                </c:pt>
                <c:pt idx="434">
                  <c:v>11.125135250662533</c:v>
                </c:pt>
                <c:pt idx="435">
                  <c:v>11.220458375967629</c:v>
                </c:pt>
                <c:pt idx="436">
                  <c:v>11.315043491422754</c:v>
                </c:pt>
                <c:pt idx="437">
                  <c:v>11.408883721336053</c:v>
                </c:pt>
                <c:pt idx="438">
                  <c:v>11.501972601607992</c:v>
                </c:pt>
                <c:pt idx="439">
                  <c:v>11.594304072676399</c:v>
                </c:pt>
                <c:pt idx="440">
                  <c:v>11.685872472378337</c:v>
                </c:pt>
                <c:pt idx="441">
                  <c:v>11.776672528738146</c:v>
                </c:pt>
                <c:pt idx="442">
                  <c:v>11.866699352690844</c:v>
                </c:pt>
                <c:pt idx="443">
                  <c:v>11.955948430749814</c:v>
                </c:pt>
                <c:pt idx="444">
                  <c:v>12.044415617627362</c:v>
                </c:pt>
                <c:pt idx="445">
                  <c:v>12.132097128816527</c:v>
                </c:pt>
                <c:pt idx="446">
                  <c:v>12.218989533142246</c:v>
                </c:pt>
                <c:pt idx="447">
                  <c:v>12.305089745289687</c:v>
                </c:pt>
                <c:pt idx="448">
                  <c:v>12.390395018317351</c:v>
                </c:pt>
                <c:pt idx="449">
                  <c:v>12.474902936162152</c:v>
                </c:pt>
                <c:pt idx="450">
                  <c:v>12.558611406143665</c:v>
                </c:pt>
                <c:pt idx="451">
                  <c:v>12.641518651474112</c:v>
                </c:pt>
                <c:pt idx="452">
                  <c:v>12.723623203780706</c:v>
                </c:pt>
                <c:pt idx="453">
                  <c:v>12.80492389564662</c:v>
                </c:pt>
                <c:pt idx="454">
                  <c:v>12.885419853176405</c:v>
                </c:pt>
                <c:pt idx="455">
                  <c:v>12.965110488591735</c:v>
                </c:pt>
                <c:pt idx="456">
                  <c:v>13.043995492862912</c:v>
                </c:pt>
                <c:pt idx="457">
                  <c:v>13.12207482838126</c:v>
                </c:pt>
                <c:pt idx="458">
                  <c:v>13.199348721677435</c:v>
                </c:pt>
                <c:pt idx="459">
                  <c:v>13.275817656190462</c:v>
                </c:pt>
                <c:pt idx="460">
                  <c:v>13.35148236509179</c:v>
                </c:pt>
                <c:pt idx="461">
                  <c:v>13.426343824168793</c:v>
                </c:pt>
                <c:pt idx="462">
                  <c:v>13.500403244771665</c:v>
                </c:pt>
                <c:pt idx="463">
                  <c:v>13.573662066827469</c:v>
                </c:pt>
                <c:pt idx="464">
                  <c:v>13.646121951924938</c:v>
                </c:pt>
                <c:pt idx="465">
                  <c:v>13.717784776473426</c:v>
                </c:pt>
                <c:pt idx="466">
                  <c:v>13.788652624939088</c:v>
                </c:pt>
                <c:pt idx="467">
                  <c:v>13.858727783161239</c:v>
                </c:pt>
                <c:pt idx="468">
                  <c:v>13.928012731751624</c:v>
                </c:pt>
                <c:pt idx="469">
                  <c:v>13.996510139579152</c:v>
                </c:pt>
                <c:pt idx="470">
                  <c:v>14.064222857342415</c:v>
                </c:pt>
                <c:pt idx="471">
                  <c:v>14.131153911232181</c:v>
                </c:pt>
                <c:pt idx="472">
                  <c:v>14.197306496685782</c:v>
                </c:pt>
                <c:pt idx="473">
                  <c:v>14.26268397223528</c:v>
                </c:pt>
                <c:pt idx="474">
                  <c:v>14.327289853450953</c:v>
                </c:pt>
                <c:pt idx="475">
                  <c:v>14.391127806981677</c:v>
                </c:pt>
                <c:pt idx="476">
                  <c:v>14.4542016446934</c:v>
                </c:pt>
                <c:pt idx="477">
                  <c:v>14.516515317906954</c:v>
                </c:pt>
                <c:pt idx="478">
                  <c:v>14.578072911736134</c:v>
                </c:pt>
                <c:pt idx="479">
                  <c:v>14.638878639527071</c:v>
                </c:pt>
                <c:pt idx="480">
                  <c:v>14.698936837399332</c:v>
                </c:pt>
                <c:pt idx="481">
                  <c:v>14.7582519588897</c:v>
                </c:pt>
                <c:pt idx="482">
                  <c:v>14.816828569698831</c:v>
                </c:pt>
                <c:pt idx="483">
                  <c:v>14.874671342541232</c:v>
                </c:pt>
                <c:pt idx="484">
                  <c:v>14.931785052098867</c:v>
                </c:pt>
                <c:pt idx="485">
                  <c:v>14.988174570078346</c:v>
                </c:pt>
                <c:pt idx="486">
                  <c:v>15.043844860371845</c:v>
                </c:pt>
                <c:pt idx="487">
                  <c:v>15.098800974321636</c:v>
                </c:pt>
                <c:pt idx="488">
                  <c:v>15.153048046087994</c:v>
                </c:pt>
                <c:pt idx="489">
                  <c:v>15.206591288120249</c:v>
                </c:pt>
                <c:pt idx="490">
                  <c:v>15.259435986730621</c:v>
                </c:pt>
                <c:pt idx="491">
                  <c:v>15.311587497770283</c:v>
                </c:pt>
                <c:pt idx="492">
                  <c:v>15.363051242407336</c:v>
                </c:pt>
                <c:pt idx="493">
                  <c:v>15.413832703005856</c:v>
                </c:pt>
                <c:pt idx="494">
                  <c:v>15.463937419105465</c:v>
                </c:pt>
                <c:pt idx="495">
                  <c:v>15.513370983500677</c:v>
                </c:pt>
                <c:pt idx="496">
                  <c:v>15.562139038419149</c:v>
                </c:pt>
                <c:pt idx="497">
                  <c:v>15.610247271798096</c:v>
                </c:pt>
                <c:pt idx="498">
                  <c:v>15.657701413657724</c:v>
                </c:pt>
                <c:pt idx="499">
                  <c:v>15.704507232571025</c:v>
                </c:pt>
                <c:pt idx="500">
                  <c:v>15.750670532228593</c:v>
                </c:pt>
                <c:pt idx="501">
                  <c:v>15.79619714809759</c:v>
                </c:pt>
                <c:pt idx="502">
                  <c:v>15.841092944173727</c:v>
                </c:pt>
                <c:pt idx="503">
                  <c:v>15.885363809825074</c:v>
                </c:pt>
                <c:pt idx="504">
                  <c:v>15.929015656726484</c:v>
                </c:pt>
                <c:pt idx="505">
                  <c:v>15.972054415883512</c:v>
                </c:pt>
                <c:pt idx="506">
                  <c:v>16.01448603474455</c:v>
                </c:pt>
                <c:pt idx="507">
                  <c:v>16.056316474399839</c:v>
                </c:pt>
                <c:pt idx="508">
                  <c:v>16.09755170686612</c:v>
                </c:pt>
                <c:pt idx="509">
                  <c:v>16.138197712455671</c:v>
                </c:pt>
                <c:pt idx="510">
                  <c:v>16.178260477228203</c:v>
                </c:pt>
                <c:pt idx="511">
                  <c:v>16.217745990524538</c:v>
                </c:pt>
                <c:pt idx="512">
                  <c:v>16.256660242580367</c:v>
                </c:pt>
                <c:pt idx="513">
                  <c:v>16.295009222219029</c:v>
                </c:pt>
                <c:pt idx="514">
                  <c:v>16.332798914621684</c:v>
                </c:pt>
                <c:pt idx="515">
                  <c:v>16.370035299173644</c:v>
                </c:pt>
                <c:pt idx="516">
                  <c:v>16.406724347385307</c:v>
                </c:pt>
                <c:pt idx="517">
                  <c:v>16.442872020886394</c:v>
                </c:pt>
                <c:pt idx="518">
                  <c:v>16.478484269492071</c:v>
                </c:pt>
                <c:pt idx="519">
                  <c:v>16.513567029339441</c:v>
                </c:pt>
                <c:pt idx="520">
                  <c:v>16.548126221093106</c:v>
                </c:pt>
                <c:pt idx="521">
                  <c:v>16.582167748218325</c:v>
                </c:pt>
                <c:pt idx="522">
                  <c:v>16.61569749532033</c:v>
                </c:pt>
                <c:pt idx="523">
                  <c:v>16.648721326548507</c:v>
                </c:pt>
                <c:pt idx="524">
                  <c:v>16.681245084063921</c:v>
                </c:pt>
                <c:pt idx="525">
                  <c:v>16.713274586568758</c:v>
                </c:pt>
                <c:pt idx="526">
                  <c:v>16.744815627896575</c:v>
                </c:pt>
                <c:pt idx="527">
                  <c:v>16.775873975661497</c:v>
                </c:pt>
                <c:pt idx="528">
                  <c:v>16.806455369965573</c:v>
                </c:pt>
                <c:pt idx="529">
                  <c:v>16.836565522162413</c:v>
                </c:pt>
                <c:pt idx="530">
                  <c:v>16.866210113676036</c:v>
                </c:pt>
                <c:pt idx="531">
                  <c:v>16.895394794873603</c:v>
                </c:pt>
                <c:pt idx="532">
                  <c:v>16.924125183990601</c:v>
                </c:pt>
                <c:pt idx="533">
                  <c:v>16.9524068661072</c:v>
                </c:pt>
                <c:pt idx="534">
                  <c:v>16.980245392174592</c:v>
                </c:pt>
                <c:pt idx="535">
                  <c:v>17.007646278089869</c:v>
                </c:pt>
                <c:pt idx="536">
                  <c:v>17.034615003818313</c:v>
                </c:pt>
                <c:pt idx="537">
                  <c:v>17.061157012561818</c:v>
                </c:pt>
                <c:pt idx="538">
                  <c:v>17.08727770997216</c:v>
                </c:pt>
                <c:pt idx="539">
                  <c:v>17.112982463407988</c:v>
                </c:pt>
                <c:pt idx="540">
                  <c:v>17.138276601234264</c:v>
                </c:pt>
                <c:pt idx="541">
                  <c:v>17.163165412163064</c:v>
                </c:pt>
                <c:pt idx="542">
                  <c:v>17.187654144634418</c:v>
                </c:pt>
                <c:pt idx="543">
                  <c:v>17.211748006236363</c:v>
                </c:pt>
                <c:pt idx="544">
                  <c:v>17.235452163162609</c:v>
                </c:pt>
                <c:pt idx="545">
                  <c:v>17.258771739707267</c:v>
                </c:pt>
                <c:pt idx="546">
                  <c:v>17.281711817795021</c:v>
                </c:pt>
                <c:pt idx="547">
                  <c:v>17.304277436546162</c:v>
                </c:pt>
                <c:pt idx="548">
                  <c:v>17.32647359187504</c:v>
                </c:pt>
                <c:pt idx="549">
                  <c:v>17.348305236121128</c:v>
                </c:pt>
                <c:pt idx="550">
                  <c:v>17.369777277711691</c:v>
                </c:pt>
                <c:pt idx="551">
                  <c:v>17.390894580854919</c:v>
                </c:pt>
                <c:pt idx="552">
                  <c:v>17.411661965262724</c:v>
                </c:pt>
                <c:pt idx="553">
                  <c:v>17.432084205902139</c:v>
                </c:pt>
                <c:pt idx="554">
                  <c:v>17.452166032774429</c:v>
                </c:pt>
                <c:pt idx="555">
                  <c:v>17.471912130721037</c:v>
                </c:pt>
                <c:pt idx="556">
                  <c:v>17.491327139255326</c:v>
                </c:pt>
                <c:pt idx="557">
                  <c:v>17.510415652419496</c:v>
                </c:pt>
                <c:pt idx="558">
                  <c:v>17.52918221866555</c:v>
                </c:pt>
                <c:pt idx="559">
                  <c:v>17.547631340759597</c:v>
                </c:pt>
                <c:pt idx="560">
                  <c:v>17.565767475708789</c:v>
                </c:pt>
                <c:pt idx="561">
                  <c:v>17.583595034709813</c:v>
                </c:pt>
                <c:pt idx="562">
                  <c:v>17.601118383118418</c:v>
                </c:pt>
                <c:pt idx="563">
                  <c:v>17.618341840439058</c:v>
                </c:pt>
                <c:pt idx="564">
                  <c:v>17.635269680334023</c:v>
                </c:pt>
                <c:pt idx="565">
                  <c:v>17.651906130651138</c:v>
                </c:pt>
                <c:pt idx="566">
                  <c:v>17.668255373469577</c:v>
                </c:pt>
                <c:pt idx="567">
                  <c:v>17.684321545162884</c:v>
                </c:pt>
                <c:pt idx="568">
                  <c:v>17.700108736478619</c:v>
                </c:pt>
                <c:pt idx="569">
                  <c:v>17.715620992634012</c:v>
                </c:pt>
                <c:pt idx="570">
                  <c:v>17.730862313426769</c:v>
                </c:pt>
                <c:pt idx="571">
                  <c:v>17.74583665336079</c:v>
                </c:pt>
                <c:pt idx="572">
                  <c:v>17.760547921785768</c:v>
                </c:pt>
                <c:pt idx="573">
                  <c:v>17.774999983050328</c:v>
                </c:pt>
                <c:pt idx="574">
                  <c:v>17.789196656668118</c:v>
                </c:pt>
                <c:pt idx="575">
                  <c:v>17.803141717496107</c:v>
                </c:pt>
                <c:pt idx="576">
                  <c:v>17.81683889592485</c:v>
                </c:pt>
                <c:pt idx="577">
                  <c:v>17.830291878079795</c:v>
                </c:pt>
                <c:pt idx="578">
                  <c:v>17.843504306033513</c:v>
                </c:pt>
                <c:pt idx="579">
                  <c:v>17.856479778028085</c:v>
                </c:pt>
                <c:pt idx="580">
                  <c:v>17.869221848707163</c:v>
                </c:pt>
                <c:pt idx="581">
                  <c:v>17.881734029357425</c:v>
                </c:pt>
                <c:pt idx="582">
                  <c:v>17.89401978815874</c:v>
                </c:pt>
                <c:pt idx="583">
                  <c:v>17.906082550442736</c:v>
                </c:pt>
                <c:pt idx="584">
                  <c:v>17.917925698959241</c:v>
                </c:pt>
                <c:pt idx="585">
                  <c:v>17.929552574150293</c:v>
                </c:pt>
                <c:pt idx="586">
                  <c:v>17.940966474431182</c:v>
                </c:pt>
                <c:pt idx="587">
                  <c:v>17.952170656478142</c:v>
                </c:pt>
                <c:pt idx="588">
                  <c:v>17.963168335522468</c:v>
                </c:pt>
                <c:pt idx="589">
                  <c:v>17.973962685650456</c:v>
                </c:pt>
                <c:pt idx="590">
                  <c:v>17.984556840108951</c:v>
                </c:pt>
                <c:pt idx="591">
                  <c:v>17.994953891616124</c:v>
                </c:pt>
                <c:pt idx="592">
                  <c:v>18.005156892677071</c:v>
                </c:pt>
                <c:pt idx="593">
                  <c:v>18.015168855904051</c:v>
                </c:pt>
                <c:pt idx="594">
                  <c:v>18.024992754340857</c:v>
                </c:pt>
                <c:pt idx="595">
                  <c:v>18.034631521791212</c:v>
                </c:pt>
                <c:pt idx="596">
                  <c:v>18.044088053150666</c:v>
                </c:pt>
                <c:pt idx="597">
                  <c:v>18.053365204741947</c:v>
                </c:pt>
                <c:pt idx="598">
                  <c:v>18.062465794653338</c:v>
                </c:pt>
                <c:pt idx="599">
                  <c:v>18.071392603079772</c:v>
                </c:pt>
                <c:pt idx="600">
                  <c:v>18.080148372666599</c:v>
                </c:pt>
                <c:pt idx="601">
                  <c:v>18.088735808855493</c:v>
                </c:pt>
                <c:pt idx="602">
                  <c:v>18.097157580232473</c:v>
                </c:pt>
                <c:pt idx="603">
                  <c:v>18.10541631887774</c:v>
                </c:pt>
                <c:pt idx="604">
                  <c:v>18.113514620717076</c:v>
                </c:pt>
                <c:pt idx="605">
                  <c:v>18.12145504587459</c:v>
                </c:pt>
                <c:pt idx="606">
                  <c:v>18.129240119026676</c:v>
                </c:pt>
                <c:pt idx="607">
                  <c:v>18.136872329756844</c:v>
                </c:pt>
                <c:pt idx="608">
                  <c:v>18.144354132911417</c:v>
                </c:pt>
                <c:pt idx="609">
                  <c:v>18.151687948955722</c:v>
                </c:pt>
                <c:pt idx="610">
                  <c:v>18.158876164330714</c:v>
                </c:pt>
                <c:pt idx="611">
                  <c:v>18.16592113180986</c:v>
                </c:pt>
                <c:pt idx="612">
                  <c:v>18.172825170855972</c:v>
                </c:pt>
                <c:pt idx="613">
                  <c:v>18.179590567978117</c:v>
                </c:pt>
                <c:pt idx="614">
                  <c:v>18.186219577088075</c:v>
                </c:pt>
                <c:pt idx="615">
                  <c:v>18.192714419856603</c:v>
                </c:pt>
                <c:pt idx="616">
                  <c:v>18.199077286069013</c:v>
                </c:pt>
                <c:pt idx="617">
                  <c:v>18.205310333980137</c:v>
                </c:pt>
                <c:pt idx="618">
                  <c:v>18.211415690668513</c:v>
                </c:pt>
                <c:pt idx="619">
                  <c:v>18.217395452389585</c:v>
                </c:pt>
                <c:pt idx="620">
                  <c:v>18.223251684927952</c:v>
                </c:pt>
                <c:pt idx="621">
                  <c:v>18.22898642394842</c:v>
                </c:pt>
                <c:pt idx="622">
                  <c:v>18.234601675345736</c:v>
                </c:pt>
                <c:pt idx="623">
                  <c:v>18.2400994155931</c:v>
                </c:pt>
                <c:pt idx="624">
                  <c:v>18.245481592089064</c:v>
                </c:pt>
                <c:pt idx="625">
                  <c:v>18.250750123503007</c:v>
                </c:pt>
                <c:pt idx="626">
                  <c:v>18.255906900118898</c:v>
                </c:pt>
                <c:pt idx="627">
                  <c:v>18.260953784177321</c:v>
                </c:pt>
                <c:pt idx="628">
                  <c:v>18.265892610215765</c:v>
                </c:pt>
                <c:pt idx="629">
                  <c:v>18.270725185406988</c:v>
                </c:pt>
                <c:pt idx="630">
                  <c:v>18.275453289895403</c:v>
                </c:pt>
                <c:pt idx="631">
                  <c:v>18.280078677131499</c:v>
                </c:pt>
                <c:pt idx="632">
                  <c:v>18.284603074204117</c:v>
                </c:pt>
                <c:pt idx="633">
                  <c:v>18.289028182170682</c:v>
                </c:pt>
                <c:pt idx="634">
                  <c:v>18.293355676385051</c:v>
                </c:pt>
                <c:pt idx="635">
                  <c:v>18.297587206823287</c:v>
                </c:pt>
                <c:pt idx="636">
                  <c:v>18.301724398407035</c:v>
                </c:pt>
                <c:pt idx="637">
                  <c:v>18.30576885132453</c:v>
                </c:pt>
                <c:pt idx="638">
                  <c:v>18.309722141349237</c:v>
                </c:pt>
                <c:pt idx="639">
                  <c:v>18.31358582015601</c:v>
                </c:pt>
                <c:pt idx="640">
                  <c:v>18.31736141563486</c:v>
                </c:pt>
                <c:pt idx="641">
                  <c:v>18.321050432202007</c:v>
                </c:pt>
                <c:pt idx="642">
                  <c:v>18.324654351108656</c:v>
                </c:pt>
                <c:pt idx="643">
                  <c:v>18.328174630746929</c:v>
                </c:pt>
                <c:pt idx="644">
                  <c:v>18.331612706953326</c:v>
                </c:pt>
                <c:pt idx="645">
                  <c:v>18.334969993309503</c:v>
                </c:pt>
                <c:pt idx="646">
                  <c:v>18.338247881440434</c:v>
                </c:pt>
                <c:pt idx="647">
                  <c:v>18.341447741309789</c:v>
                </c:pt>
                <c:pt idx="648">
                  <c:v>18.344570921512723</c:v>
                </c:pt>
                <c:pt idx="649">
                  <c:v>18.347618749565857</c:v>
                </c:pt>
                <c:pt idx="650">
                  <c:v>18.350592532194536</c:v>
                </c:pt>
                <c:pt idx="651">
                  <c:v>18.353493555617394</c:v>
                </c:pt>
                <c:pt idx="652">
                  <c:v>18.356323085828055</c:v>
                </c:pt>
                <c:pt idx="653">
                  <c:v>18.359082368874123</c:v>
                </c:pt>
                <c:pt idx="654">
                  <c:v>18.359085066787276</c:v>
                </c:pt>
                <c:pt idx="655">
                  <c:v>18.359087764632552</c:v>
                </c:pt>
                <c:pt idx="656">
                  <c:v>18.359090462409945</c:v>
                </c:pt>
                <c:pt idx="657">
                  <c:v>18.359093160119475</c:v>
                </c:pt>
                <c:pt idx="658">
                  <c:v>18.35909585776113</c:v>
                </c:pt>
                <c:pt idx="659">
                  <c:v>18.359098555334921</c:v>
                </c:pt>
                <c:pt idx="660">
                  <c:v>18.35910125284083</c:v>
                </c:pt>
                <c:pt idx="661">
                  <c:v>18.359103950278875</c:v>
                </c:pt>
                <c:pt idx="662">
                  <c:v>18.359106647649057</c:v>
                </c:pt>
                <c:pt idx="663">
                  <c:v>18.359109344951364</c:v>
                </c:pt>
                <c:pt idx="664">
                  <c:v>18.359112042185817</c:v>
                </c:pt>
                <c:pt idx="665">
                  <c:v>18.359114739352403</c:v>
                </c:pt>
                <c:pt idx="666">
                  <c:v>18.359117436451132</c:v>
                </c:pt>
                <c:pt idx="667">
                  <c:v>18.359120133481984</c:v>
                </c:pt>
                <c:pt idx="668">
                  <c:v>18.359122830444985</c:v>
                </c:pt>
                <c:pt idx="669">
                  <c:v>18.359125527340129</c:v>
                </c:pt>
                <c:pt idx="670">
                  <c:v>18.359128224167414</c:v>
                </c:pt>
                <c:pt idx="671">
                  <c:v>18.359130920926837</c:v>
                </c:pt>
                <c:pt idx="672">
                  <c:v>18.359133617618411</c:v>
                </c:pt>
                <c:pt idx="673">
                  <c:v>18.359136314242129</c:v>
                </c:pt>
                <c:pt idx="674">
                  <c:v>18.359139010797993</c:v>
                </c:pt>
                <c:pt idx="675">
                  <c:v>18.359141707286025</c:v>
                </c:pt>
                <c:pt idx="676">
                  <c:v>18.359144403706185</c:v>
                </c:pt>
                <c:pt idx="677">
                  <c:v>18.3591471000585</c:v>
                </c:pt>
                <c:pt idx="678">
                  <c:v>18.359149796342969</c:v>
                </c:pt>
                <c:pt idx="679">
                  <c:v>18.359152492559595</c:v>
                </c:pt>
                <c:pt idx="680">
                  <c:v>18.359155188708364</c:v>
                </c:pt>
                <c:pt idx="681">
                  <c:v>18.35915788478929</c:v>
                </c:pt>
                <c:pt idx="682">
                  <c:v>18.359160580802381</c:v>
                </c:pt>
                <c:pt idx="683">
                  <c:v>18.359163276747626</c:v>
                </c:pt>
                <c:pt idx="684">
                  <c:v>18.359165972625032</c:v>
                </c:pt>
                <c:pt idx="685">
                  <c:v>18.359168668434602</c:v>
                </c:pt>
                <c:pt idx="686">
                  <c:v>18.359171364176323</c:v>
                </c:pt>
                <c:pt idx="687">
                  <c:v>18.359174059850215</c:v>
                </c:pt>
                <c:pt idx="688">
                  <c:v>18.359176755456268</c:v>
                </c:pt>
                <c:pt idx="689">
                  <c:v>18.359179450994482</c:v>
                </c:pt>
                <c:pt idx="690">
                  <c:v>18.359182146464875</c:v>
                </c:pt>
                <c:pt idx="691">
                  <c:v>18.359184841867418</c:v>
                </c:pt>
                <c:pt idx="692">
                  <c:v>18.359187537202139</c:v>
                </c:pt>
                <c:pt idx="693">
                  <c:v>18.359190232469025</c:v>
                </c:pt>
                <c:pt idx="694">
                  <c:v>18.35919292766809</c:v>
                </c:pt>
                <c:pt idx="695">
                  <c:v>18.359195622799323</c:v>
                </c:pt>
                <c:pt idx="696">
                  <c:v>18.359198317862731</c:v>
                </c:pt>
                <c:pt idx="697">
                  <c:v>18.359201012858314</c:v>
                </c:pt>
                <c:pt idx="698">
                  <c:v>18.359203707786065</c:v>
                </c:pt>
                <c:pt idx="699">
                  <c:v>18.359206402646002</c:v>
                </c:pt>
                <c:pt idx="700">
                  <c:v>18.359209097438121</c:v>
                </c:pt>
                <c:pt idx="701">
                  <c:v>18.359211792162402</c:v>
                </c:pt>
                <c:pt idx="702">
                  <c:v>18.359214486818871</c:v>
                </c:pt>
                <c:pt idx="703">
                  <c:v>18.35921718140753</c:v>
                </c:pt>
                <c:pt idx="704">
                  <c:v>18.359219875928364</c:v>
                </c:pt>
                <c:pt idx="705">
                  <c:v>18.359222570381394</c:v>
                </c:pt>
                <c:pt idx="706">
                  <c:v>18.359225264766593</c:v>
                </c:pt>
                <c:pt idx="707">
                  <c:v>18.359227959083977</c:v>
                </c:pt>
                <c:pt idx="708">
                  <c:v>18.359230653333558</c:v>
                </c:pt>
                <c:pt idx="709">
                  <c:v>18.359233347515325</c:v>
                </c:pt>
                <c:pt idx="710">
                  <c:v>18.359236041629281</c:v>
                </c:pt>
                <c:pt idx="711">
                  <c:v>18.359238735675429</c:v>
                </c:pt>
                <c:pt idx="712">
                  <c:v>18.359241429653771</c:v>
                </c:pt>
                <c:pt idx="713">
                  <c:v>18.359244123564309</c:v>
                </c:pt>
                <c:pt idx="714">
                  <c:v>18.359246817407033</c:v>
                </c:pt>
                <c:pt idx="715">
                  <c:v>18.359249511181957</c:v>
                </c:pt>
                <c:pt idx="716">
                  <c:v>18.359252204889088</c:v>
                </c:pt>
                <c:pt idx="717">
                  <c:v>18.359254898528405</c:v>
                </c:pt>
                <c:pt idx="718">
                  <c:v>18.359257592099929</c:v>
                </c:pt>
                <c:pt idx="719">
                  <c:v>18.359260285603646</c:v>
                </c:pt>
                <c:pt idx="720">
                  <c:v>18.35926297903957</c:v>
                </c:pt>
                <c:pt idx="721">
                  <c:v>18.359265672407687</c:v>
                </c:pt>
                <c:pt idx="722">
                  <c:v>18.359268365708019</c:v>
                </c:pt>
                <c:pt idx="723">
                  <c:v>18.359271058940546</c:v>
                </c:pt>
                <c:pt idx="724">
                  <c:v>18.359273752105292</c:v>
                </c:pt>
                <c:pt idx="725">
                  <c:v>18.359276445202241</c:v>
                </c:pt>
                <c:pt idx="726">
                  <c:v>18.359279138231397</c:v>
                </c:pt>
                <c:pt idx="727">
                  <c:v>18.359281831192764</c:v>
                </c:pt>
                <c:pt idx="728">
                  <c:v>18.359284524086348</c:v>
                </c:pt>
                <c:pt idx="729">
                  <c:v>18.359287216912136</c:v>
                </c:pt>
                <c:pt idx="730">
                  <c:v>18.359289909670153</c:v>
                </c:pt>
                <c:pt idx="731">
                  <c:v>18.35929260236037</c:v>
                </c:pt>
                <c:pt idx="732">
                  <c:v>18.3592952949828</c:v>
                </c:pt>
                <c:pt idx="733">
                  <c:v>18.359297987537449</c:v>
                </c:pt>
                <c:pt idx="734">
                  <c:v>18.359300680024319</c:v>
                </c:pt>
                <c:pt idx="735">
                  <c:v>18.359303372443399</c:v>
                </c:pt>
                <c:pt idx="736">
                  <c:v>18.359306064794723</c:v>
                </c:pt>
                <c:pt idx="737">
                  <c:v>18.359308757078246</c:v>
                </c:pt>
                <c:pt idx="738">
                  <c:v>18.359311449294012</c:v>
                </c:pt>
                <c:pt idx="739">
                  <c:v>18.359314141441992</c:v>
                </c:pt>
                <c:pt idx="740">
                  <c:v>18.359316833522197</c:v>
                </c:pt>
                <c:pt idx="741">
                  <c:v>18.35931952553463</c:v>
                </c:pt>
                <c:pt idx="742">
                  <c:v>18.359322217479292</c:v>
                </c:pt>
                <c:pt idx="743">
                  <c:v>18.359324909356179</c:v>
                </c:pt>
                <c:pt idx="744">
                  <c:v>18.359327601165297</c:v>
                </c:pt>
                <c:pt idx="745">
                  <c:v>18.359330292906648</c:v>
                </c:pt>
                <c:pt idx="746">
                  <c:v>18.359332984580224</c:v>
                </c:pt>
                <c:pt idx="747">
                  <c:v>18.359335676186046</c:v>
                </c:pt>
                <c:pt idx="748">
                  <c:v>18.359338367724092</c:v>
                </c:pt>
                <c:pt idx="749">
                  <c:v>18.359341059194385</c:v>
                </c:pt>
                <c:pt idx="750">
                  <c:v>18.359343750596913</c:v>
                </c:pt>
                <c:pt idx="751">
                  <c:v>18.35934644193167</c:v>
                </c:pt>
                <c:pt idx="752">
                  <c:v>18.359349133198673</c:v>
                </c:pt>
                <c:pt idx="753">
                  <c:v>18.359351824397915</c:v>
                </c:pt>
                <c:pt idx="754">
                  <c:v>18.359354515529404</c:v>
                </c:pt>
                <c:pt idx="755">
                  <c:v>18.359357206593138</c:v>
                </c:pt>
                <c:pt idx="756">
                  <c:v>18.359359897589108</c:v>
                </c:pt>
                <c:pt idx="757">
                  <c:v>18.359362588517328</c:v>
                </c:pt>
                <c:pt idx="758">
                  <c:v>18.359365279377787</c:v>
                </c:pt>
                <c:pt idx="759">
                  <c:v>18.359367970170506</c:v>
                </c:pt>
                <c:pt idx="760">
                  <c:v>18.359370660895468</c:v>
                </c:pt>
                <c:pt idx="761">
                  <c:v>18.35937335155268</c:v>
                </c:pt>
                <c:pt idx="762">
                  <c:v>18.359376042142149</c:v>
                </c:pt>
                <c:pt idx="763">
                  <c:v>18.35937873266387</c:v>
                </c:pt>
                <c:pt idx="764">
                  <c:v>18.359381423117838</c:v>
                </c:pt>
                <c:pt idx="765">
                  <c:v>18.35938411350406</c:v>
                </c:pt>
                <c:pt idx="766">
                  <c:v>18.359386803822549</c:v>
                </c:pt>
                <c:pt idx="767">
                  <c:v>18.359389494073284</c:v>
                </c:pt>
                <c:pt idx="768">
                  <c:v>18.359392184256283</c:v>
                </c:pt>
                <c:pt idx="769">
                  <c:v>18.359394874371546</c:v>
                </c:pt>
                <c:pt idx="770">
                  <c:v>18.359397564419055</c:v>
                </c:pt>
                <c:pt idx="771">
                  <c:v>18.359400254398842</c:v>
                </c:pt>
                <c:pt idx="772">
                  <c:v>18.359402944310887</c:v>
                </c:pt>
                <c:pt idx="773">
                  <c:v>18.359405634155195</c:v>
                </c:pt>
                <c:pt idx="774">
                  <c:v>18.359408323931774</c:v>
                </c:pt>
                <c:pt idx="775">
                  <c:v>18.359411013640617</c:v>
                </c:pt>
                <c:pt idx="776">
                  <c:v>18.359413703281717</c:v>
                </c:pt>
                <c:pt idx="777">
                  <c:v>18.359416392855106</c:v>
                </c:pt>
                <c:pt idx="778">
                  <c:v>18.359419082360755</c:v>
                </c:pt>
                <c:pt idx="779">
                  <c:v>18.359421771798676</c:v>
                </c:pt>
                <c:pt idx="780">
                  <c:v>18.359424461168867</c:v>
                </c:pt>
                <c:pt idx="781">
                  <c:v>18.35942715047134</c:v>
                </c:pt>
                <c:pt idx="782">
                  <c:v>18.359429839706078</c:v>
                </c:pt>
                <c:pt idx="783">
                  <c:v>18.359432528873093</c:v>
                </c:pt>
                <c:pt idx="784">
                  <c:v>18.35943521797239</c:v>
                </c:pt>
                <c:pt idx="785">
                  <c:v>18.359437907003972</c:v>
                </c:pt>
                <c:pt idx="786">
                  <c:v>18.359440595967818</c:v>
                </c:pt>
                <c:pt idx="787">
                  <c:v>18.359443284863961</c:v>
                </c:pt>
                <c:pt idx="788">
                  <c:v>18.359445973692374</c:v>
                </c:pt>
                <c:pt idx="789">
                  <c:v>18.359448662453076</c:v>
                </c:pt>
                <c:pt idx="790">
                  <c:v>18.35945135114606</c:v>
                </c:pt>
                <c:pt idx="791">
                  <c:v>18.359454039771332</c:v>
                </c:pt>
                <c:pt idx="792">
                  <c:v>18.359456728328894</c:v>
                </c:pt>
                <c:pt idx="793">
                  <c:v>18.359459416818748</c:v>
                </c:pt>
                <c:pt idx="794">
                  <c:v>18.359462105240876</c:v>
                </c:pt>
                <c:pt idx="795">
                  <c:v>18.359464793595311</c:v>
                </c:pt>
                <c:pt idx="796">
                  <c:v>18.359467481882024</c:v>
                </c:pt>
                <c:pt idx="797">
                  <c:v>18.359470170101037</c:v>
                </c:pt>
                <c:pt idx="798">
                  <c:v>18.359472858252342</c:v>
                </c:pt>
                <c:pt idx="799">
                  <c:v>18.35947554633595</c:v>
                </c:pt>
                <c:pt idx="800">
                  <c:v>18.35947823435184</c:v>
                </c:pt>
                <c:pt idx="801">
                  <c:v>18.359480922300033</c:v>
                </c:pt>
                <c:pt idx="802">
                  <c:v>18.359483610180533</c:v>
                </c:pt>
                <c:pt idx="803">
                  <c:v>18.359486297993321</c:v>
                </c:pt>
                <c:pt idx="804">
                  <c:v>18.359488985738416</c:v>
                </c:pt>
                <c:pt idx="805">
                  <c:v>18.359491673415818</c:v>
                </c:pt>
                <c:pt idx="806">
                  <c:v>18.359494361025515</c:v>
                </c:pt>
                <c:pt idx="807">
                  <c:v>18.359497048567519</c:v>
                </c:pt>
                <c:pt idx="808">
                  <c:v>18.359499736041833</c:v>
                </c:pt>
                <c:pt idx="809">
                  <c:v>18.359502423448461</c:v>
                </c:pt>
                <c:pt idx="810">
                  <c:v>18.359505110787378</c:v>
                </c:pt>
                <c:pt idx="811">
                  <c:v>18.359507798058619</c:v>
                </c:pt>
                <c:pt idx="812">
                  <c:v>18.359510485262163</c:v>
                </c:pt>
                <c:pt idx="813">
                  <c:v>18.359513172398014</c:v>
                </c:pt>
                <c:pt idx="814">
                  <c:v>18.359515859466189</c:v>
                </c:pt>
                <c:pt idx="815">
                  <c:v>18.359518546466674</c:v>
                </c:pt>
                <c:pt idx="816">
                  <c:v>18.359521233399477</c:v>
                </c:pt>
                <c:pt idx="817">
                  <c:v>18.3595239202646</c:v>
                </c:pt>
                <c:pt idx="818">
                  <c:v>18.359526607062033</c:v>
                </c:pt>
                <c:pt idx="819">
                  <c:v>18.359529293791795</c:v>
                </c:pt>
                <c:pt idx="820">
                  <c:v>18.359531980453859</c:v>
                </c:pt>
                <c:pt idx="821">
                  <c:v>18.359534667048255</c:v>
                </c:pt>
                <c:pt idx="822">
                  <c:v>18.359537353574975</c:v>
                </c:pt>
                <c:pt idx="823">
                  <c:v>18.359540040034023</c:v>
                </c:pt>
                <c:pt idx="824">
                  <c:v>18.359542726425381</c:v>
                </c:pt>
                <c:pt idx="825">
                  <c:v>18.359545412749075</c:v>
                </c:pt>
                <c:pt idx="826">
                  <c:v>18.359548099005099</c:v>
                </c:pt>
                <c:pt idx="827">
                  <c:v>18.359550785193441</c:v>
                </c:pt>
                <c:pt idx="828">
                  <c:v>18.359553471314118</c:v>
                </c:pt>
                <c:pt idx="829">
                  <c:v>18.359556157367127</c:v>
                </c:pt>
                <c:pt idx="830">
                  <c:v>18.359558843352467</c:v>
                </c:pt>
                <c:pt idx="831">
                  <c:v>18.359561529270142</c:v>
                </c:pt>
                <c:pt idx="832">
                  <c:v>18.359564215120148</c:v>
                </c:pt>
                <c:pt idx="833">
                  <c:v>18.3595669009025</c:v>
                </c:pt>
                <c:pt idx="834">
                  <c:v>18.35956958661718</c:v>
                </c:pt>
                <c:pt idx="835">
                  <c:v>18.359572272264195</c:v>
                </c:pt>
                <c:pt idx="836">
                  <c:v>18.359574957843552</c:v>
                </c:pt>
                <c:pt idx="837">
                  <c:v>18.359577643355255</c:v>
                </c:pt>
                <c:pt idx="838">
                  <c:v>18.359580328799286</c:v>
                </c:pt>
                <c:pt idx="839">
                  <c:v>18.359583014175673</c:v>
                </c:pt>
                <c:pt idx="840">
                  <c:v>18.359585699484391</c:v>
                </c:pt>
                <c:pt idx="841">
                  <c:v>18.359588384725466</c:v>
                </c:pt>
                <c:pt idx="842">
                  <c:v>18.359591069898883</c:v>
                </c:pt>
                <c:pt idx="843">
                  <c:v>18.359593755004642</c:v>
                </c:pt>
                <c:pt idx="844">
                  <c:v>18.359596440042754</c:v>
                </c:pt>
                <c:pt idx="845">
                  <c:v>18.359599125013222</c:v>
                </c:pt>
                <c:pt idx="846">
                  <c:v>18.359601809916033</c:v>
                </c:pt>
                <c:pt idx="847">
                  <c:v>18.359604494751199</c:v>
                </c:pt>
                <c:pt idx="848">
                  <c:v>18.359607179518719</c:v>
                </c:pt>
                <c:pt idx="849">
                  <c:v>18.359609864218587</c:v>
                </c:pt>
                <c:pt idx="850">
                  <c:v>18.359612548850812</c:v>
                </c:pt>
                <c:pt idx="851">
                  <c:v>18.359615233415401</c:v>
                </c:pt>
                <c:pt idx="852">
                  <c:v>18.359617917912345</c:v>
                </c:pt>
                <c:pt idx="853">
                  <c:v>18.359620602341632</c:v>
                </c:pt>
                <c:pt idx="854">
                  <c:v>18.359623286703304</c:v>
                </c:pt>
                <c:pt idx="855">
                  <c:v>18.359625970997325</c:v>
                </c:pt>
                <c:pt idx="856">
                  <c:v>18.359628655223709</c:v>
                </c:pt>
                <c:pt idx="857">
                  <c:v>18.359631339382464</c:v>
                </c:pt>
                <c:pt idx="858">
                  <c:v>18.359634023473564</c:v>
                </c:pt>
                <c:pt idx="859">
                  <c:v>18.359636707497042</c:v>
                </c:pt>
                <c:pt idx="860">
                  <c:v>18.359639391452898</c:v>
                </c:pt>
                <c:pt idx="861">
                  <c:v>18.359642075341114</c:v>
                </c:pt>
                <c:pt idx="862">
                  <c:v>18.359644759161693</c:v>
                </c:pt>
                <c:pt idx="863">
                  <c:v>18.359647442914646</c:v>
                </c:pt>
                <c:pt idx="864">
                  <c:v>18.359650126599981</c:v>
                </c:pt>
                <c:pt idx="865">
                  <c:v>18.359652810217693</c:v>
                </c:pt>
                <c:pt idx="866">
                  <c:v>18.359655493767768</c:v>
                </c:pt>
                <c:pt idx="867">
                  <c:v>18.359658177250218</c:v>
                </c:pt>
                <c:pt idx="868">
                  <c:v>18.359660860665041</c:v>
                </c:pt>
                <c:pt idx="869">
                  <c:v>18.35966354401225</c:v>
                </c:pt>
                <c:pt idx="870">
                  <c:v>18.359666227291829</c:v>
                </c:pt>
                <c:pt idx="871">
                  <c:v>18.3596689105038</c:v>
                </c:pt>
                <c:pt idx="872">
                  <c:v>18.359671593648148</c:v>
                </c:pt>
                <c:pt idx="873">
                  <c:v>18.359674276724881</c:v>
                </c:pt>
                <c:pt idx="874">
                  <c:v>18.359676959733992</c:v>
                </c:pt>
                <c:pt idx="875">
                  <c:v>18.359679642675491</c:v>
                </c:pt>
                <c:pt idx="876">
                  <c:v>18.359682325549386</c:v>
                </c:pt>
                <c:pt idx="877">
                  <c:v>18.359685008355658</c:v>
                </c:pt>
                <c:pt idx="878">
                  <c:v>18.359687691094322</c:v>
                </c:pt>
                <c:pt idx="879">
                  <c:v>18.359690373765375</c:v>
                </c:pt>
                <c:pt idx="880">
                  <c:v>18.359693056368812</c:v>
                </c:pt>
                <c:pt idx="881">
                  <c:v>18.359695738904648</c:v>
                </c:pt>
                <c:pt idx="882">
                  <c:v>18.35969842137288</c:v>
                </c:pt>
                <c:pt idx="883">
                  <c:v>18.359701103773507</c:v>
                </c:pt>
                <c:pt idx="884">
                  <c:v>18.359703786106518</c:v>
                </c:pt>
                <c:pt idx="885">
                  <c:v>18.35970646837194</c:v>
                </c:pt>
                <c:pt idx="886">
                  <c:v>18.359709150569749</c:v>
                </c:pt>
                <c:pt idx="887">
                  <c:v>18.359711832699965</c:v>
                </c:pt>
                <c:pt idx="888">
                  <c:v>18.359714514762576</c:v>
                </c:pt>
                <c:pt idx="889">
                  <c:v>18.359717196757586</c:v>
                </c:pt>
                <c:pt idx="890">
                  <c:v>18.359719878685009</c:v>
                </c:pt>
                <c:pt idx="891">
                  <c:v>18.359722560544828</c:v>
                </c:pt>
                <c:pt idx="892">
                  <c:v>18.359725242337049</c:v>
                </c:pt>
                <c:pt idx="893">
                  <c:v>18.359727924061691</c:v>
                </c:pt>
                <c:pt idx="894">
                  <c:v>18.359730605718731</c:v>
                </c:pt>
                <c:pt idx="895">
                  <c:v>18.359733287308174</c:v>
                </c:pt>
                <c:pt idx="896">
                  <c:v>18.359735968830037</c:v>
                </c:pt>
                <c:pt idx="897">
                  <c:v>18.359738650284307</c:v>
                </c:pt>
                <c:pt idx="898">
                  <c:v>18.359741331670989</c:v>
                </c:pt>
                <c:pt idx="899">
                  <c:v>18.359744012990088</c:v>
                </c:pt>
                <c:pt idx="900">
                  <c:v>18.359746694241597</c:v>
                </c:pt>
                <c:pt idx="901">
                  <c:v>18.359749375425526</c:v>
                </c:pt>
                <c:pt idx="902">
                  <c:v>18.359752056541868</c:v>
                </c:pt>
                <c:pt idx="903">
                  <c:v>18.359754737590631</c:v>
                </c:pt>
                <c:pt idx="904">
                  <c:v>18.359757418571807</c:v>
                </c:pt>
                <c:pt idx="905">
                  <c:v>18.35976009948541</c:v>
                </c:pt>
                <c:pt idx="906">
                  <c:v>18.359762780331437</c:v>
                </c:pt>
                <c:pt idx="907">
                  <c:v>18.359765461109887</c:v>
                </c:pt>
                <c:pt idx="908">
                  <c:v>18.359768141820755</c:v>
                </c:pt>
                <c:pt idx="909">
                  <c:v>18.359770822464043</c:v>
                </c:pt>
                <c:pt idx="910">
                  <c:v>18.359773503039769</c:v>
                </c:pt>
                <c:pt idx="911">
                  <c:v>18.359776183547918</c:v>
                </c:pt>
                <c:pt idx="912">
                  <c:v>18.359778863988499</c:v>
                </c:pt>
                <c:pt idx="913">
                  <c:v>18.359781544361503</c:v>
                </c:pt>
                <c:pt idx="914">
                  <c:v>18.359784224666939</c:v>
                </c:pt>
                <c:pt idx="915">
                  <c:v>18.359786904904812</c:v>
                </c:pt>
                <c:pt idx="916">
                  <c:v>18.359789585075116</c:v>
                </c:pt>
                <c:pt idx="917">
                  <c:v>18.359792265177855</c:v>
                </c:pt>
                <c:pt idx="918">
                  <c:v>18.359794945213032</c:v>
                </c:pt>
                <c:pt idx="919">
                  <c:v>18.359797625180644</c:v>
                </c:pt>
                <c:pt idx="920">
                  <c:v>18.359800305080697</c:v>
                </c:pt>
                <c:pt idx="921">
                  <c:v>18.359802984913181</c:v>
                </c:pt>
                <c:pt idx="922">
                  <c:v>18.35980566467812</c:v>
                </c:pt>
                <c:pt idx="923">
                  <c:v>18.359808344375491</c:v>
                </c:pt>
                <c:pt idx="924">
                  <c:v>18.359811024005303</c:v>
                </c:pt>
                <c:pt idx="925">
                  <c:v>18.359813703567561</c:v>
                </c:pt>
                <c:pt idx="926">
                  <c:v>18.359816383062274</c:v>
                </c:pt>
                <c:pt idx="927">
                  <c:v>18.359819062489418</c:v>
                </c:pt>
                <c:pt idx="928">
                  <c:v>18.359821741849018</c:v>
                </c:pt>
                <c:pt idx="929">
                  <c:v>18.35982442114107</c:v>
                </c:pt>
                <c:pt idx="930">
                  <c:v>18.359827100365564</c:v>
                </c:pt>
                <c:pt idx="931">
                  <c:v>18.359829779522521</c:v>
                </c:pt>
                <c:pt idx="932">
                  <c:v>18.359832458611926</c:v>
                </c:pt>
                <c:pt idx="933">
                  <c:v>18.359835137633773</c:v>
                </c:pt>
                <c:pt idx="934">
                  <c:v>18.359837816588087</c:v>
                </c:pt>
                <c:pt idx="935">
                  <c:v>18.35984049547486</c:v>
                </c:pt>
                <c:pt idx="936">
                  <c:v>18.359843174294078</c:v>
                </c:pt>
                <c:pt idx="937">
                  <c:v>18.359845853045766</c:v>
                </c:pt>
                <c:pt idx="938">
                  <c:v>18.359848531729895</c:v>
                </c:pt>
                <c:pt idx="939">
                  <c:v>18.359851210346502</c:v>
                </c:pt>
                <c:pt idx="940">
                  <c:v>18.359853888895557</c:v>
                </c:pt>
                <c:pt idx="941">
                  <c:v>18.35985656737709</c:v>
                </c:pt>
                <c:pt idx="942">
                  <c:v>18.359859245791078</c:v>
                </c:pt>
                <c:pt idx="943">
                  <c:v>18.35986192413754</c:v>
                </c:pt>
                <c:pt idx="944">
                  <c:v>18.359864602416458</c:v>
                </c:pt>
                <c:pt idx="945">
                  <c:v>18.359867280627853</c:v>
                </c:pt>
                <c:pt idx="946">
                  <c:v>18.359869958771704</c:v>
                </c:pt>
                <c:pt idx="947">
                  <c:v>18.359872636848042</c:v>
                </c:pt>
                <c:pt idx="948">
                  <c:v>18.359875314856836</c:v>
                </c:pt>
                <c:pt idx="949">
                  <c:v>18.359877992798115</c:v>
                </c:pt>
                <c:pt idx="950">
                  <c:v>18.359880670671867</c:v>
                </c:pt>
                <c:pt idx="951">
                  <c:v>18.359883348478078</c:v>
                </c:pt>
                <c:pt idx="952">
                  <c:v>18.359886026216781</c:v>
                </c:pt>
                <c:pt idx="953">
                  <c:v>18.359888703887954</c:v>
                </c:pt>
                <c:pt idx="954">
                  <c:v>18.359891381491607</c:v>
                </c:pt>
                <c:pt idx="955">
                  <c:v>18.359894059027749</c:v>
                </c:pt>
                <c:pt idx="956">
                  <c:v>18.35989673649636</c:v>
                </c:pt>
                <c:pt idx="957">
                  <c:v>18.359899413897455</c:v>
                </c:pt>
                <c:pt idx="958">
                  <c:v>18.359902091231042</c:v>
                </c:pt>
                <c:pt idx="959">
                  <c:v>18.359904768497103</c:v>
                </c:pt>
                <c:pt idx="960">
                  <c:v>18.359907445695651</c:v>
                </c:pt>
                <c:pt idx="961">
                  <c:v>18.359910122826687</c:v>
                </c:pt>
                <c:pt idx="962">
                  <c:v>18.359912799890207</c:v>
                </c:pt>
                <c:pt idx="963">
                  <c:v>18.359915476886215</c:v>
                </c:pt>
                <c:pt idx="964">
                  <c:v>18.359918153814721</c:v>
                </c:pt>
                <c:pt idx="965">
                  <c:v>18.359920830675723</c:v>
                </c:pt>
                <c:pt idx="966">
                  <c:v>18.359923507469212</c:v>
                </c:pt>
                <c:pt idx="967">
                  <c:v>18.359926184195185</c:v>
                </c:pt>
                <c:pt idx="968">
                  <c:v>18.359928860853664</c:v>
                </c:pt>
                <c:pt idx="969">
                  <c:v>18.359931537444627</c:v>
                </c:pt>
                <c:pt idx="970">
                  <c:v>18.359934213968092</c:v>
                </c:pt>
                <c:pt idx="971">
                  <c:v>18.359936890424063</c:v>
                </c:pt>
                <c:pt idx="972">
                  <c:v>18.359939566812525</c:v>
                </c:pt>
                <c:pt idx="973">
                  <c:v>18.359942243133496</c:v>
                </c:pt>
                <c:pt idx="974">
                  <c:v>18.359944919386972</c:v>
                </c:pt>
                <c:pt idx="975">
                  <c:v>18.359947595572947</c:v>
                </c:pt>
                <c:pt idx="976">
                  <c:v>18.359950271691417</c:v>
                </c:pt>
                <c:pt idx="977">
                  <c:v>18.359952947742396</c:v>
                </c:pt>
                <c:pt idx="978">
                  <c:v>18.359955623725877</c:v>
                </c:pt>
                <c:pt idx="979">
                  <c:v>18.359958299641878</c:v>
                </c:pt>
                <c:pt idx="980">
                  <c:v>18.359960975490385</c:v>
                </c:pt>
                <c:pt idx="981">
                  <c:v>18.359963651271389</c:v>
                </c:pt>
                <c:pt idx="982">
                  <c:v>18.359966326984917</c:v>
                </c:pt>
                <c:pt idx="983">
                  <c:v>18.359969002630958</c:v>
                </c:pt>
                <c:pt idx="984">
                  <c:v>18.359971678209522</c:v>
                </c:pt>
                <c:pt idx="985">
                  <c:v>18.359974353720585</c:v>
                </c:pt>
                <c:pt idx="986">
                  <c:v>18.359977029164163</c:v>
                </c:pt>
                <c:pt idx="987">
                  <c:v>18.359979704540269</c:v>
                </c:pt>
                <c:pt idx="988">
                  <c:v>18.359982379848883</c:v>
                </c:pt>
                <c:pt idx="989">
                  <c:v>18.359985055090021</c:v>
                </c:pt>
                <c:pt idx="990">
                  <c:v>18.359987730263683</c:v>
                </c:pt>
                <c:pt idx="991">
                  <c:v>18.359990405369864</c:v>
                </c:pt>
                <c:pt idx="992">
                  <c:v>18.359993080408572</c:v>
                </c:pt>
                <c:pt idx="993">
                  <c:v>18.359995755379799</c:v>
                </c:pt>
                <c:pt idx="994">
                  <c:v>18.359998430283561</c:v>
                </c:pt>
                <c:pt idx="995">
                  <c:v>18.360001105119846</c:v>
                </c:pt>
                <c:pt idx="996">
                  <c:v>18.360003779888654</c:v>
                </c:pt>
                <c:pt idx="997">
                  <c:v>18.360006454589989</c:v>
                </c:pt>
                <c:pt idx="998">
                  <c:v>18.360009129223865</c:v>
                </c:pt>
                <c:pt idx="999">
                  <c:v>18.360011803790272</c:v>
                </c:pt>
                <c:pt idx="1000">
                  <c:v>18.360014478289198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4-48D6-934B-5D8E0316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672"/>
        <c:axId val="149502592"/>
      </c:scatterChart>
      <c:valAx>
        <c:axId val="14950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2592"/>
        <c:crosses val="autoZero"/>
        <c:crossBetween val="midCat"/>
      </c:valAx>
      <c:valAx>
        <c:axId val="1495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3333438320209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00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18929827167842"/>
          <c:y val="0.34444479440069992"/>
          <c:w val="0.13050326845936713"/>
          <c:h val="0.22888888888888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16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137.88</c:v>
                </c:pt>
                <c:pt idx="1">
                  <c:v>137.98126136641619</c:v>
                </c:pt>
                <c:pt idx="2">
                  <c:v>138.75500562138507</c:v>
                </c:pt>
                <c:pt idx="3">
                  <c:v>139.81047981409628</c:v>
                </c:pt>
                <c:pt idx="4">
                  <c:v>140.75681080675272</c:v>
                </c:pt>
                <c:pt idx="5">
                  <c:v>141.64562566575026</c:v>
                </c:pt>
                <c:pt idx="6">
                  <c:v>142.5285743436132</c:v>
                </c:pt>
                <c:pt idx="7">
                  <c:v>143.40564872388123</c:v>
                </c:pt>
                <c:pt idx="8">
                  <c:v>144.27684096623793</c:v>
                </c:pt>
                <c:pt idx="9">
                  <c:v>145.14214350541681</c:v>
                </c:pt>
                <c:pt idx="10">
                  <c:v>146.00154905007457</c:v>
                </c:pt>
                <c:pt idx="11">
                  <c:v>146.85505058163218</c:v>
                </c:pt>
                <c:pt idx="12">
                  <c:v>147.7026413530842</c:v>
                </c:pt>
                <c:pt idx="13">
                  <c:v>148.54431488777641</c:v>
                </c:pt>
                <c:pt idx="14">
                  <c:v>149.38006497815306</c:v>
                </c:pt>
                <c:pt idx="15">
                  <c:v>150.20988568447376</c:v>
                </c:pt>
                <c:pt idx="16">
                  <c:v>151.03377133350028</c:v>
                </c:pt>
                <c:pt idx="17">
                  <c:v>151.85171651715436</c:v>
                </c:pt>
                <c:pt idx="18">
                  <c:v>152.66371609114674</c:v>
                </c:pt>
                <c:pt idx="19">
                  <c:v>153.46976517357785</c:v>
                </c:pt>
                <c:pt idx="20">
                  <c:v>154.26985914351098</c:v>
                </c:pt>
                <c:pt idx="21">
                  <c:v>155.063993639518</c:v>
                </c:pt>
                <c:pt idx="22">
                  <c:v>155.85216455819869</c:v>
                </c:pt>
                <c:pt idx="23">
                  <c:v>156.63436805267384</c:v>
                </c:pt>
                <c:pt idx="24">
                  <c:v>157.41060053105278</c:v>
                </c:pt>
                <c:pt idx="25">
                  <c:v>158.18085865487575</c:v>
                </c:pt>
                <c:pt idx="26">
                  <c:v>158.94513933753197</c:v>
                </c:pt>
                <c:pt idx="27">
                  <c:v>159.70343974265353</c:v>
                </c:pt>
                <c:pt idx="28">
                  <c:v>160.45575728248593</c:v>
                </c:pt>
                <c:pt idx="29">
                  <c:v>161.2020896162357</c:v>
                </c:pt>
                <c:pt idx="30">
                  <c:v>161.94243464839556</c:v>
                </c:pt>
                <c:pt idx="31">
                  <c:v>162.67679052704798</c:v>
                </c:pt>
                <c:pt idx="32">
                  <c:v>163.40515564214712</c:v>
                </c:pt>
                <c:pt idx="33">
                  <c:v>164.12752862378034</c:v>
                </c:pt>
                <c:pt idx="34">
                  <c:v>164.84390834040917</c:v>
                </c:pt>
                <c:pt idx="35">
                  <c:v>165.55429389709082</c:v>
                </c:pt>
                <c:pt idx="36">
                  <c:v>166.25868463368062</c:v>
                </c:pt>
                <c:pt idx="37">
                  <c:v>166.9570801230154</c:v>
                </c:pt>
                <c:pt idx="38">
                  <c:v>167.64948016907951</c:v>
                </c:pt>
                <c:pt idx="39">
                  <c:v>168.33588480515257</c:v>
                </c:pt>
                <c:pt idx="40">
                  <c:v>169.0162942919406</c:v>
                </c:pt>
                <c:pt idx="41">
                  <c:v>169.69070911569077</c:v>
                </c:pt>
                <c:pt idx="42">
                  <c:v>170.35912998628982</c:v>
                </c:pt>
                <c:pt idx="43">
                  <c:v>171.02155783534738</c:v>
                </c:pt>
                <c:pt idx="44">
                  <c:v>171.67799381426431</c:v>
                </c:pt>
                <c:pt idx="45">
                  <c:v>172.32843929228653</c:v>
                </c:pt>
                <c:pt idx="46">
                  <c:v>172.97289585454516</c:v>
                </c:pt>
                <c:pt idx="47">
                  <c:v>173.61136530008324</c:v>
                </c:pt>
                <c:pt idx="48">
                  <c:v>174.24384963986961</c:v>
                </c:pt>
                <c:pt idx="49">
                  <c:v>174.87035109480064</c:v>
                </c:pt>
                <c:pt idx="50">
                  <c:v>175.49087209368983</c:v>
                </c:pt>
                <c:pt idx="51">
                  <c:v>176.10541527124639</c:v>
                </c:pt>
                <c:pt idx="52">
                  <c:v>176.71398346604306</c:v>
                </c:pt>
                <c:pt idx="53">
                  <c:v>177.31657971847338</c:v>
                </c:pt>
                <c:pt idx="54">
                  <c:v>177.91320726869935</c:v>
                </c:pt>
                <c:pt idx="55">
                  <c:v>178.50386955458981</c:v>
                </c:pt>
                <c:pt idx="56">
                  <c:v>179.08857020964984</c:v>
                </c:pt>
                <c:pt idx="57">
                  <c:v>179.66731306094204</c:v>
                </c:pt>
                <c:pt idx="58">
                  <c:v>180.24010212699972</c:v>
                </c:pt>
                <c:pt idx="59">
                  <c:v>180.80694161573297</c:v>
                </c:pt>
                <c:pt idx="60">
                  <c:v>181.36783592232777</c:v>
                </c:pt>
                <c:pt idx="61">
                  <c:v>181.92278962713837</c:v>
                </c:pt>
                <c:pt idx="62">
                  <c:v>182.47180749357435</c:v>
                </c:pt>
                <c:pt idx="63">
                  <c:v>183.01033891058094</c:v>
                </c:pt>
                <c:pt idx="64">
                  <c:v>183.53383805149184</c:v>
                </c:pt>
                <c:pt idx="65">
                  <c:v>184.04232395887712</c:v>
                </c:pt>
                <c:pt idx="66">
                  <c:v>184.53581631155424</c:v>
                </c:pt>
                <c:pt idx="67">
                  <c:v>185.01015611051025</c:v>
                </c:pt>
                <c:pt idx="68">
                  <c:v>185.46118999670477</c:v>
                </c:pt>
                <c:pt idx="69">
                  <c:v>185.88151763002719</c:v>
                </c:pt>
                <c:pt idx="70">
                  <c:v>186.26375004334633</c:v>
                </c:pt>
                <c:pt idx="71">
                  <c:v>186.60795237030629</c:v>
                </c:pt>
                <c:pt idx="72">
                  <c:v>186.9141924744751</c:v>
                </c:pt>
                <c:pt idx="73">
                  <c:v>187.18254087088422</c:v>
                </c:pt>
                <c:pt idx="74">
                  <c:v>187.41307064754679</c:v>
                </c:pt>
                <c:pt idx="75">
                  <c:v>187.60585738700314</c:v>
                </c:pt>
                <c:pt idx="76">
                  <c:v>187.76097908793878</c:v>
                </c:pt>
                <c:pt idx="77">
                  <c:v>187.87851608691966</c:v>
                </c:pt>
                <c:pt idx="78">
                  <c:v>187.95855098028881</c:v>
                </c:pt>
                <c:pt idx="79">
                  <c:v>188.00116854626603</c:v>
                </c:pt>
                <c:pt idx="80">
                  <c:v>188.00645566729168</c:v>
                </c:pt>
                <c:pt idx="81">
                  <c:v>187.98335923857812</c:v>
                </c:pt>
                <c:pt idx="82">
                  <c:v>187.94080736335579</c:v>
                </c:pt>
                <c:pt idx="83">
                  <c:v>187.87884759351471</c:v>
                </c:pt>
                <c:pt idx="84">
                  <c:v>187.79752790316084</c:v>
                </c:pt>
                <c:pt idx="85">
                  <c:v>187.69689666818505</c:v>
                </c:pt>
                <c:pt idx="86">
                  <c:v>187.57700264599973</c:v>
                </c:pt>
                <c:pt idx="87">
                  <c:v>187.43789495544766</c:v>
                </c:pt>
                <c:pt idx="88">
                  <c:v>187.27962305688547</c:v>
                </c:pt>
                <c:pt idx="89">
                  <c:v>187.10503673908298</c:v>
                </c:pt>
                <c:pt idx="90">
                  <c:v>186.91697880815741</c:v>
                </c:pt>
                <c:pt idx="91">
                  <c:v>186.7154844543947</c:v>
                </c:pt>
                <c:pt idx="92">
                  <c:v>186.50058894158039</c:v>
                </c:pt>
                <c:pt idx="93">
                  <c:v>186.27302780146081</c:v>
                </c:pt>
                <c:pt idx="94">
                  <c:v>186.0335347384158</c:v>
                </c:pt>
                <c:pt idx="95">
                  <c:v>185.78214131421649</c:v>
                </c:pt>
                <c:pt idx="96">
                  <c:v>185.51887909939293</c:v>
                </c:pt>
                <c:pt idx="97">
                  <c:v>185.24658099007166</c:v>
                </c:pt>
                <c:pt idx="98">
                  <c:v>184.96807214472744</c:v>
                </c:pt>
                <c:pt idx="99">
                  <c:v>184.68336842197562</c:v>
                </c:pt>
                <c:pt idx="100">
                  <c:v>184.39248562079976</c:v>
                </c:pt>
                <c:pt idx="101">
                  <c:v>184.09543947905101</c:v>
                </c:pt>
                <c:pt idx="102">
                  <c:v>183.79224567196835</c:v>
                </c:pt>
                <c:pt idx="103">
                  <c:v>183.48291981071984</c:v>
                </c:pt>
                <c:pt idx="104">
                  <c:v>183.16747744096477</c:v>
                </c:pt>
                <c:pt idx="105">
                  <c:v>182.84593404143624</c:v>
                </c:pt>
                <c:pt idx="106">
                  <c:v>182.51830502254384</c:v>
                </c:pt>
                <c:pt idx="107">
                  <c:v>182.18460572499725</c:v>
                </c:pt>
                <c:pt idx="108">
                  <c:v>181.84485141844894</c:v>
                </c:pt>
                <c:pt idx="109">
                  <c:v>181.50255961106254</c:v>
                </c:pt>
                <c:pt idx="110">
                  <c:v>181.16123778519213</c:v>
                </c:pt>
                <c:pt idx="111">
                  <c:v>180.82088116956095</c:v>
                </c:pt>
                <c:pt idx="112">
                  <c:v>180.48148502413423</c:v>
                </c:pt>
                <c:pt idx="113">
                  <c:v>180.14304463986238</c:v>
                </c:pt>
                <c:pt idx="114">
                  <c:v>179.80555533842664</c:v>
                </c:pt>
                <c:pt idx="115">
                  <c:v>179.46901247198718</c:v>
                </c:pt>
                <c:pt idx="116">
                  <c:v>179.13341142293388</c:v>
                </c:pt>
                <c:pt idx="117">
                  <c:v>178.79874760363927</c:v>
                </c:pt>
                <c:pt idx="118">
                  <c:v>178.46501645621424</c:v>
                </c:pt>
                <c:pt idx="119">
                  <c:v>178.13221345226583</c:v>
                </c:pt>
                <c:pt idx="120">
                  <c:v>177.80033409265758</c:v>
                </c:pt>
                <c:pt idx="121">
                  <c:v>177.46937390727209</c:v>
                </c:pt>
                <c:pt idx="122">
                  <c:v>177.13932845477618</c:v>
                </c:pt>
                <c:pt idx="123">
                  <c:v>176.81019332238785</c:v>
                </c:pt>
                <c:pt idx="124">
                  <c:v>176.48196412564613</c:v>
                </c:pt>
                <c:pt idx="125">
                  <c:v>176.15463650818242</c:v>
                </c:pt>
                <c:pt idx="126">
                  <c:v>175.82820614149483</c:v>
                </c:pt>
                <c:pt idx="127">
                  <c:v>175.50266872472412</c:v>
                </c:pt>
                <c:pt idx="128">
                  <c:v>175.17801998443207</c:v>
                </c:pt>
                <c:pt idx="129">
                  <c:v>174.85425567438187</c:v>
                </c:pt>
                <c:pt idx="130">
                  <c:v>174.53137157532089</c:v>
                </c:pt>
                <c:pt idx="131">
                  <c:v>174.20936349476497</c:v>
                </c:pt>
                <c:pt idx="132">
                  <c:v>173.88822726678552</c:v>
                </c:pt>
                <c:pt idx="133">
                  <c:v>173.56795875179807</c:v>
                </c:pt>
                <c:pt idx="134">
                  <c:v>173.24855383635312</c:v>
                </c:pt>
                <c:pt idx="135">
                  <c:v>172.9300084329289</c:v>
                </c:pt>
                <c:pt idx="136">
                  <c:v>172.61231847972621</c:v>
                </c:pt>
                <c:pt idx="137">
                  <c:v>172.29547994046507</c:v>
                </c:pt>
                <c:pt idx="138">
                  <c:v>171.97948880418338</c:v>
                </c:pt>
                <c:pt idx="139">
                  <c:v>171.66434108503748</c:v>
                </c:pt>
                <c:pt idx="140">
                  <c:v>171.35003282210468</c:v>
                </c:pt>
                <c:pt idx="141">
                  <c:v>171.03656007918747</c:v>
                </c:pt>
                <c:pt idx="142">
                  <c:v>170.72391894461973</c:v>
                </c:pt>
                <c:pt idx="143">
                  <c:v>170.41210553107481</c:v>
                </c:pt>
                <c:pt idx="144">
                  <c:v>170.10111597537517</c:v>
                </c:pt>
                <c:pt idx="145">
                  <c:v>169.79094643830422</c:v>
                </c:pt>
                <c:pt idx="146">
                  <c:v>169.48159310441943</c:v>
                </c:pt>
                <c:pt idx="147">
                  <c:v>169.1730521818676</c:v>
                </c:pt>
                <c:pt idx="148">
                  <c:v>168.86531990220166</c:v>
                </c:pt>
                <c:pt idx="149">
                  <c:v>168.55839252019922</c:v>
                </c:pt>
                <c:pt idx="150">
                  <c:v>168.25226631368284</c:v>
                </c:pt>
                <c:pt idx="151">
                  <c:v>167.94693758334199</c:v>
                </c:pt>
                <c:pt idx="152">
                  <c:v>167.64240265255643</c:v>
                </c:pt>
                <c:pt idx="153">
                  <c:v>167.33865786722177</c:v>
                </c:pt>
                <c:pt idx="154">
                  <c:v>167.03569959557598</c:v>
                </c:pt>
                <c:pt idx="155">
                  <c:v>166.73352422802799</c:v>
                </c:pt>
                <c:pt idx="156">
                  <c:v>166.43212817698773</c:v>
                </c:pt>
                <c:pt idx="157">
                  <c:v>166.13150787669767</c:v>
                </c:pt>
                <c:pt idx="158">
                  <c:v>165.83165978306593</c:v>
                </c:pt>
                <c:pt idx="159">
                  <c:v>165.53258037350108</c:v>
                </c:pt>
                <c:pt idx="160">
                  <c:v>165.23426614674824</c:v>
                </c:pt>
                <c:pt idx="161">
                  <c:v>164.93671362272676</c:v>
                </c:pt>
                <c:pt idx="162">
                  <c:v>164.63991934236952</c:v>
                </c:pt>
                <c:pt idx="163">
                  <c:v>164.3438798674635</c:v>
                </c:pt>
                <c:pt idx="164">
                  <c:v>164.04859178049193</c:v>
                </c:pt>
                <c:pt idx="165">
                  <c:v>163.75405168447776</c:v>
                </c:pt>
                <c:pt idx="166">
                  <c:v>163.46025620282876</c:v>
                </c:pt>
                <c:pt idx="167">
                  <c:v>163.1672019791838</c:v>
                </c:pt>
                <c:pt idx="168">
                  <c:v>162.87488567726069</c:v>
                </c:pt>
                <c:pt idx="169">
                  <c:v>162.58330398070532</c:v>
                </c:pt>
                <c:pt idx="170">
                  <c:v>162.29245359294214</c:v>
                </c:pt>
                <c:pt idx="171">
                  <c:v>162.00233123702603</c:v>
                </c:pt>
                <c:pt idx="172">
                  <c:v>161.71293365549562</c:v>
                </c:pt>
                <c:pt idx="173">
                  <c:v>161.42425761022761</c:v>
                </c:pt>
                <c:pt idx="174">
                  <c:v>161.13629988229283</c:v>
                </c:pt>
                <c:pt idx="175">
                  <c:v>160.84905727181322</c:v>
                </c:pt>
                <c:pt idx="176">
                  <c:v>160.56252659782024</c:v>
                </c:pt>
                <c:pt idx="177">
                  <c:v>160.27670469811468</c:v>
                </c:pt>
                <c:pt idx="178">
                  <c:v>159.9915884291274</c:v>
                </c:pt>
                <c:pt idx="179">
                  <c:v>159.70717466578159</c:v>
                </c:pt>
                <c:pt idx="180">
                  <c:v>159.4234603013563</c:v>
                </c:pt>
                <c:pt idx="181">
                  <c:v>159.14044224735079</c:v>
                </c:pt>
                <c:pt idx="182">
                  <c:v>158.85811743335051</c:v>
                </c:pt>
                <c:pt idx="183">
                  <c:v>158.57648280689418</c:v>
                </c:pt>
                <c:pt idx="184">
                  <c:v>158.29553533334172</c:v>
                </c:pt>
                <c:pt idx="185">
                  <c:v>158.01527199574389</c:v>
                </c:pt>
                <c:pt idx="186">
                  <c:v>157.73568979471253</c:v>
                </c:pt>
                <c:pt idx="187">
                  <c:v>157.45678574829248</c:v>
                </c:pt>
                <c:pt idx="188">
                  <c:v>157.17855689183409</c:v>
                </c:pt>
                <c:pt idx="189">
                  <c:v>156.90100027786727</c:v>
                </c:pt>
                <c:pt idx="190">
                  <c:v>156.62411297597643</c:v>
                </c:pt>
                <c:pt idx="191">
                  <c:v>156.34789207267664</c:v>
                </c:pt>
                <c:pt idx="192">
                  <c:v>156.07233467129072</c:v>
                </c:pt>
                <c:pt idx="193">
                  <c:v>155.79743789182754</c:v>
                </c:pt>
                <c:pt idx="194">
                  <c:v>155.52319887086139</c:v>
                </c:pt>
                <c:pt idx="195">
                  <c:v>155.24961476141226</c:v>
                </c:pt>
                <c:pt idx="196">
                  <c:v>154.9766827328273</c:v>
                </c:pt>
                <c:pt idx="197">
                  <c:v>154.70439997066316</c:v>
                </c:pt>
                <c:pt idx="198">
                  <c:v>154.43276367656961</c:v>
                </c:pt>
                <c:pt idx="199">
                  <c:v>154.16177106817398</c:v>
                </c:pt>
                <c:pt idx="200">
                  <c:v>153.89141937896639</c:v>
                </c:pt>
                <c:pt idx="201">
                  <c:v>151.19438099408072</c:v>
                </c:pt>
                <c:pt idx="202">
                  <c:v>148.56030682850607</c:v>
                </c:pt>
                <c:pt idx="203">
                  <c:v>145.98654857152732</c:v>
                </c:pt>
                <c:pt idx="204">
                  <c:v>143.47060396282797</c:v>
                </c:pt>
                <c:pt idx="205">
                  <c:v>141.01010679070819</c:v>
                </c:pt>
                <c:pt idx="206">
                  <c:v>138.60281770767344</c:v>
                </c:pt>
                <c:pt idx="207">
                  <c:v>136.2466157864398</c:v>
                </c:pt>
                <c:pt idx="208">
                  <c:v>133.93949074761372</c:v>
                </c:pt>
                <c:pt idx="209">
                  <c:v>131.67953579754069</c:v>
                </c:pt>
                <c:pt idx="210">
                  <c:v>129.46494102121</c:v>
                </c:pt>
                <c:pt idx="211">
                  <c:v>127.29398728075394</c:v>
                </c:pt>
                <c:pt idx="212">
                  <c:v>125.16504057509263</c:v>
                </c:pt>
                <c:pt idx="213">
                  <c:v>123.07654682071886</c:v>
                </c:pt>
                <c:pt idx="214">
                  <c:v>121.0270270175735</c:v>
                </c:pt>
                <c:pt idx="215">
                  <c:v>119.01507276748112</c:v>
                </c:pt>
                <c:pt idx="216">
                  <c:v>117.03934211575496</c:v>
                </c:pt>
                <c:pt idx="217">
                  <c:v>115.09855568938683</c:v>
                </c:pt>
                <c:pt idx="218">
                  <c:v>113.19149310774471</c:v>
                </c:pt>
                <c:pt idx="219">
                  <c:v>111.31698964395133</c:v>
                </c:pt>
                <c:pt idx="220">
                  <c:v>109.47393311713294</c:v>
                </c:pt>
                <c:pt idx="221">
                  <c:v>107.66126099754199</c:v>
                </c:pt>
                <c:pt idx="222">
                  <c:v>105.8779577081885</c:v>
                </c:pt>
                <c:pt idx="223">
                  <c:v>104.1230521080868</c:v>
                </c:pt>
                <c:pt idx="224">
                  <c:v>102.39561514355205</c:v>
                </c:pt>
                <c:pt idx="225">
                  <c:v>100.69475765518197</c:v>
                </c:pt>
                <c:pt idx="226">
                  <c:v>99.0196283292468</c:v>
                </c:pt>
                <c:pt idx="227">
                  <c:v>97.369411783197307</c:v>
                </c:pt>
                <c:pt idx="228">
                  <c:v>95.743326775897387</c:v>
                </c:pt>
                <c:pt idx="229">
                  <c:v>94.14062453400372</c:v>
                </c:pt>
                <c:pt idx="230">
                  <c:v>92.560587186660314</c:v>
                </c:pt>
                <c:pt idx="231">
                  <c:v>91.002526301356212</c:v>
                </c:pt>
                <c:pt idx="232">
                  <c:v>89.465781514418595</c:v>
                </c:pt>
                <c:pt idx="233">
                  <c:v>87.949719250186448</c:v>
                </c:pt>
                <c:pt idx="234">
                  <c:v>86.453731523438691</c:v>
                </c:pt>
                <c:pt idx="235">
                  <c:v>84.977234820137369</c:v>
                </c:pt>
                <c:pt idx="236">
                  <c:v>83.519669052000737</c:v>
                </c:pt>
                <c:pt idx="237">
                  <c:v>82.080496580840716</c:v>
                </c:pt>
                <c:pt idx="238">
                  <c:v>80.659201308994795</c:v>
                </c:pt>
                <c:pt idx="239">
                  <c:v>79.255287832552128</c:v>
                </c:pt>
                <c:pt idx="240">
                  <c:v>77.868280654424183</c:v>
                </c:pt>
                <c:pt idx="241">
                  <c:v>76.49772345464325</c:v>
                </c:pt>
                <c:pt idx="242">
                  <c:v>75.143178415591635</c:v>
                </c:pt>
                <c:pt idx="243">
                  <c:v>73.804225600172089</c:v>
                </c:pt>
                <c:pt idx="244">
                  <c:v>72.480462381230382</c:v>
                </c:pt>
                <c:pt idx="245">
                  <c:v>71.171502920835366</c:v>
                </c:pt>
                <c:pt idx="246">
                  <c:v>69.876977698313937</c:v>
                </c:pt>
                <c:pt idx="247">
                  <c:v>68.59653308623146</c:v>
                </c:pt>
                <c:pt idx="248">
                  <c:v>67.329830973803752</c:v>
                </c:pt>
                <c:pt idx="249">
                  <c:v>66.076548437530064</c:v>
                </c:pt>
                <c:pt idx="250">
                  <c:v>64.836377459148991</c:v>
                </c:pt>
                <c:pt idx="251">
                  <c:v>63.609024691345667</c:v>
                </c:pt>
                <c:pt idx="252">
                  <c:v>62.394211271982371</c:v>
                </c:pt>
                <c:pt idx="253">
                  <c:v>61.191672687990071</c:v>
                </c:pt>
                <c:pt idx="254">
                  <c:v>60.00115869044977</c:v>
                </c:pt>
                <c:pt idx="255">
                  <c:v>58.82243326281575</c:v>
                </c:pt>
                <c:pt idx="256">
                  <c:v>57.655274644692014</c:v>
                </c:pt>
                <c:pt idx="257">
                  <c:v>56.499475414076642</c:v>
                </c:pt>
                <c:pt idx="258">
                  <c:v>55.354842631541167</c:v>
                </c:pt>
                <c:pt idx="259">
                  <c:v>54.22119805042319</c:v>
                </c:pt>
                <c:pt idx="260">
                  <c:v>53.098378397786888</c:v>
                </c:pt>
                <c:pt idx="261">
                  <c:v>51.986235731659534</c:v>
                </c:pt>
                <c:pt idx="262">
                  <c:v>50.884637880890395</c:v>
                </c:pt>
                <c:pt idx="263">
                  <c:v>49.793468974916109</c:v>
                </c:pt>
                <c:pt idx="264">
                  <c:v>48.712630071762995</c:v>
                </c:pt>
                <c:pt idx="265">
                  <c:v>47.642039893788493</c:v>
                </c:pt>
                <c:pt idx="266">
                  <c:v>46.581635681972337</c:v>
                </c:pt>
                <c:pt idx="267">
                  <c:v>45.531374181030763</c:v>
                </c:pt>
                <c:pt idx="268">
                  <c:v>44.49123276925615</c:v>
                </c:pt>
                <c:pt idx="269">
                  <c:v>43.461210748796631</c:v>
                </c:pt>
                <c:pt idx="270">
                  <c:v>42.441330814095586</c:v>
                </c:pt>
                <c:pt idx="271">
                  <c:v>41.431640718419601</c:v>
                </c:pt>
                <c:pt idx="272">
                  <c:v>40.432215160817222</c:v>
                </c:pt>
                <c:pt idx="273">
                  <c:v>39.443157918463704</c:v>
                </c:pt>
                <c:pt idx="274">
                  <c:v>38.464604252136922</c:v>
                </c:pt>
                <c:pt idx="275">
                  <c:v>37.496723615495441</c:v>
                </c:pt>
                <c:pt idx="276">
                  <c:v>36.539722701818505</c:v>
                </c:pt>
                <c:pt idx="277">
                  <c:v>35.593848864803839</c:v>
                </c:pt>
                <c:pt idx="278">
                  <c:v>34.65939395272823</c:v>
                </c:pt>
                <c:pt idx="279">
                  <c:v>33.736698597498972</c:v>
                </c:pt>
                <c:pt idx="280">
                  <c:v>32.826157001492298</c:v>
                </c:pt>
                <c:pt idx="281">
                  <c:v>31.928222265066402</c:v>
                </c:pt>
                <c:pt idx="282">
                  <c:v>31.043412295530789</c:v>
                </c:pt>
                <c:pt idx="283">
                  <c:v>30.172316333168624</c:v>
                </c:pt>
                <c:pt idx="284">
                  <c:v>29.315602120327529</c:v>
                </c:pt>
                <c:pt idx="285">
                  <c:v>28.474023723882688</c:v>
                </c:pt>
                <c:pt idx="286">
                  <c:v>27.648429997289661</c:v>
                </c:pt>
                <c:pt idx="287">
                  <c:v>26.839773633149683</c:v>
                </c:pt>
                <c:pt idx="288">
                  <c:v>26.049120707226763</c:v>
                </c:pt>
                <c:pt idx="289">
                  <c:v>25.277660546077229</c:v>
                </c:pt>
                <c:pt idx="290">
                  <c:v>24.52671565828928</c:v>
                </c:pt>
                <c:pt idx="291">
                  <c:v>23.797751349092838</c:v>
                </c:pt>
                <c:pt idx="292">
                  <c:v>23.092384485735924</c:v>
                </c:pt>
                <c:pt idx="293">
                  <c:v>22.412390694390936</c:v>
                </c:pt>
                <c:pt idx="294">
                  <c:v>21.759709050213033</c:v>
                </c:pt>
                <c:pt idx="295">
                  <c:v>21.136443079036475</c:v>
                </c:pt>
                <c:pt idx="296">
                  <c:v>20.544856641028581</c:v>
                </c:pt>
                <c:pt idx="297">
                  <c:v>19.987363047021415</c:v>
                </c:pt>
                <c:pt idx="298">
                  <c:v>19.466505619114976</c:v>
                </c:pt>
                <c:pt idx="299">
                  <c:v>18.984927920004573</c:v>
                </c:pt>
                <c:pt idx="300">
                  <c:v>18.545332127472836</c:v>
                </c:pt>
                <c:pt idx="301">
                  <c:v>18.150424611629425</c:v>
                </c:pt>
                <c:pt idx="302">
                  <c:v>17.802848751328007</c:v>
                </c:pt>
                <c:pt idx="303">
                  <c:v>17.505106414164867</c:v>
                </c:pt>
                <c:pt idx="304">
                  <c:v>17.259471235532445</c:v>
                </c:pt>
                <c:pt idx="305">
                  <c:v>17.067898652918018</c:v>
                </c:pt>
                <c:pt idx="306">
                  <c:v>16.931939243163391</c:v>
                </c:pt>
                <c:pt idx="307">
                  <c:v>16.852662862048767</c:v>
                </c:pt>
                <c:pt idx="308">
                  <c:v>16.830601023016506</c:v>
                </c:pt>
                <c:pt idx="309">
                  <c:v>16.865713674059325</c:v>
                </c:pt>
                <c:pt idx="310">
                  <c:v>16.957384122373774</c:v>
                </c:pt>
                <c:pt idx="311">
                  <c:v>17.104442709273414</c:v>
                </c:pt>
                <c:pt idx="312">
                  <c:v>17.305216566882368</c:v>
                </c:pt>
                <c:pt idx="313">
                  <c:v>17.557600045616162</c:v>
                </c:pt>
                <c:pt idx="314">
                  <c:v>17.8591386802619</c:v>
                </c:pt>
                <c:pt idx="315">
                  <c:v>18.207119065030639</c:v>
                </c:pt>
                <c:pt idx="316">
                  <c:v>18.598657629123295</c:v>
                </c:pt>
                <c:pt idx="317">
                  <c:v>19.03078271705586</c:v>
                </c:pt>
                <c:pt idx="318">
                  <c:v>19.500506168363181</c:v>
                </c:pt>
                <c:pt idx="319">
                  <c:v>20.004882382915913</c:v>
                </c:pt>
                <c:pt idx="320">
                  <c:v>20.541054387289588</c:v>
                </c:pt>
                <c:pt idx="321">
                  <c:v>21.106287553133928</c:v>
                </c:pt>
                <c:pt idx="322">
                  <c:v>21.697992340520635</c:v>
                </c:pt>
                <c:pt idx="323">
                  <c:v>22.313737800560794</c:v>
                </c:pt>
                <c:pt idx="324">
                  <c:v>22.951257658607641</c:v>
                </c:pt>
                <c:pt idx="325">
                  <c:v>23.608450703134825</c:v>
                </c:pt>
                <c:pt idx="326">
                  <c:v>24.283377004620768</c:v>
                </c:pt>
                <c:pt idx="327">
                  <c:v>24.974251243036637</c:v>
                </c:pt>
                <c:pt idx="328">
                  <c:v>25.679434171998377</c:v>
                </c:pt>
                <c:pt idx="329">
                  <c:v>26.397423016204986</c:v>
                </c:pt>
                <c:pt idx="330">
                  <c:v>27.126841398287933</c:v>
                </c:pt>
                <c:pt idx="331">
                  <c:v>27.866429225411157</c:v>
                </c:pt>
                <c:pt idx="332">
                  <c:v>28.615032833797411</c:v>
                </c:pt>
                <c:pt idx="333">
                  <c:v>29.371595587178355</c:v>
                </c:pt>
                <c:pt idx="334">
                  <c:v>30.135149048317842</c:v>
                </c:pt>
                <c:pt idx="335">
                  <c:v>30.904804786481794</c:v>
                </c:pt>
                <c:pt idx="336">
                  <c:v>31.679746843659316</c:v>
                </c:pt>
                <c:pt idx="337">
                  <c:v>32.459224854720702</c:v>
                </c:pt>
                <c:pt idx="338">
                  <c:v>33.242547798434273</c:v>
                </c:pt>
                <c:pt idx="339">
                  <c:v>34.0290783448864</c:v>
                </c:pt>
                <c:pt idx="340">
                  <c:v>34.818227758434922</c:v>
                </c:pt>
                <c:pt idx="341">
                  <c:v>35.609451312410798</c:v>
                </c:pt>
                <c:pt idx="342">
                  <c:v>36.40224417126727</c:v>
                </c:pt>
                <c:pt idx="343">
                  <c:v>37.196137696951482</c:v>
                </c:pt>
                <c:pt idx="344">
                  <c:v>37.990696138352639</c:v>
                </c:pt>
                <c:pt idx="345">
                  <c:v>38.785513665345803</c:v>
                </c:pt>
                <c:pt idx="346">
                  <c:v>39.580211711906891</c:v>
                </c:pt>
                <c:pt idx="347">
                  <c:v>40.374436595823049</c:v>
                </c:pt>
                <c:pt idx="348">
                  <c:v>41.167857385529892</c:v>
                </c:pt>
                <c:pt idx="349">
                  <c:v>41.960163987488073</c:v>
                </c:pt>
                <c:pt idx="350">
                  <c:v>42.751065430216983</c:v>
                </c:pt>
                <c:pt idx="351">
                  <c:v>43.540288323605118</c:v>
                </c:pt>
                <c:pt idx="352">
                  <c:v>44.327575474406515</c:v>
                </c:pt>
                <c:pt idx="353">
                  <c:v>45.112684640909201</c:v>
                </c:pt>
                <c:pt idx="354">
                  <c:v>45.895387411634864</c:v>
                </c:pt>
                <c:pt idx="355">
                  <c:v>46.675468194608463</c:v>
                </c:pt>
                <c:pt idx="356">
                  <c:v>47.452723305237939</c:v>
                </c:pt>
                <c:pt idx="357">
                  <c:v>48.226960142182371</c:v>
                </c:pt>
                <c:pt idx="358">
                  <c:v>48.997996441775967</c:v>
                </c:pt>
                <c:pt idx="359">
                  <c:v>49.76565960263143</c:v>
                </c:pt>
                <c:pt idx="360">
                  <c:v>50.529786072982297</c:v>
                </c:pt>
                <c:pt idx="361">
                  <c:v>51.290220794153072</c:v>
                </c:pt>
                <c:pt idx="362">
                  <c:v>52.046816694279933</c:v>
                </c:pt>
                <c:pt idx="363">
                  <c:v>52.799434227055222</c:v>
                </c:pt>
                <c:pt idx="364">
                  <c:v>53.547940950843341</c:v>
                </c:pt>
                <c:pt idx="365">
                  <c:v>54.292211144025593</c:v>
                </c:pt>
                <c:pt idx="366">
                  <c:v>55.032125452881928</c:v>
                </c:pt>
                <c:pt idx="367">
                  <c:v>55.767570568717083</c:v>
                </c:pt>
                <c:pt idx="368">
                  <c:v>56.498438931292441</c:v>
                </c:pt>
                <c:pt idx="369">
                  <c:v>57.224628455939069</c:v>
                </c:pt>
                <c:pt idx="370">
                  <c:v>57.946042282005749</c:v>
                </c:pt>
                <c:pt idx="371">
                  <c:v>58.662588540543005</c:v>
                </c:pt>
                <c:pt idx="372">
                  <c:v>59.374180139344467</c:v>
                </c:pt>
                <c:pt idx="373">
                  <c:v>60.080734563661821</c:v>
                </c:pt>
                <c:pt idx="374">
                  <c:v>60.782173691084012</c:v>
                </c:pt>
                <c:pt idx="375">
                  <c:v>61.478423619226376</c:v>
                </c:pt>
                <c:pt idx="376">
                  <c:v>62.169414505013535</c:v>
                </c:pt>
                <c:pt idx="377">
                  <c:v>62.855080414463316</c:v>
                </c:pt>
                <c:pt idx="378">
                  <c:v>63.535359181989342</c:v>
                </c:pt>
                <c:pt idx="379">
                  <c:v>64.210192278338383</c:v>
                </c:pt>
                <c:pt idx="380">
                  <c:v>64.879524686366679</c:v>
                </c:pt>
                <c:pt idx="381">
                  <c:v>65.543304783938765</c:v>
                </c:pt>
                <c:pt idx="382">
                  <c:v>66.201484233302807</c:v>
                </c:pt>
                <c:pt idx="383">
                  <c:v>66.854017876360189</c:v>
                </c:pt>
                <c:pt idx="384">
                  <c:v>67.500863635304299</c:v>
                </c:pt>
                <c:pt idx="385">
                  <c:v>68.141982418154441</c:v>
                </c:pt>
                <c:pt idx="386">
                  <c:v>68.777338028757185</c:v>
                </c:pt>
                <c:pt idx="387">
                  <c:v>69.406897080868802</c:v>
                </c:pt>
                <c:pt idx="388">
                  <c:v>70.03062891597034</c:v>
                </c:pt>
                <c:pt idx="389">
                  <c:v>70.648505524499626</c:v>
                </c:pt>
                <c:pt idx="390">
                  <c:v>71.260501470216226</c:v>
                </c:pt>
                <c:pt idx="391">
                  <c:v>71.866593817441498</c:v>
                </c:pt>
                <c:pt idx="392">
                  <c:v>72.466762060942031</c:v>
                </c:pt>
                <c:pt idx="393">
                  <c:v>73.060988058245783</c:v>
                </c:pt>
                <c:pt idx="394">
                  <c:v>73.649255964201771</c:v>
                </c:pt>
                <c:pt idx="395">
                  <c:v>74.231552167611767</c:v>
                </c:pt>
                <c:pt idx="396">
                  <c:v>74.80786522977894</c:v>
                </c:pt>
                <c:pt idx="397">
                  <c:v>75.37818582483429</c:v>
                </c:pt>
                <c:pt idx="398">
                  <c:v>75.942506681714036</c:v>
                </c:pt>
                <c:pt idx="399">
                  <c:v>76.500822527674714</c:v>
                </c:pt>
                <c:pt idx="400">
                  <c:v>77.053130033242951</c:v>
                </c:pt>
                <c:pt idx="401">
                  <c:v>77.599427758507488</c:v>
                </c:pt>
                <c:pt idx="402">
                  <c:v>78.139716100670071</c:v>
                </c:pt>
                <c:pt idx="403">
                  <c:v>78.673997242780217</c:v>
                </c:pt>
                <c:pt idx="404">
                  <c:v>79.20227510358599</c:v>
                </c:pt>
                <c:pt idx="405">
                  <c:v>79.72455528844057</c:v>
                </c:pt>
                <c:pt idx="406">
                  <c:v>80.240845041209411</c:v>
                </c:pt>
                <c:pt idx="407">
                  <c:v>80.75115319712971</c:v>
                </c:pt>
                <c:pt idx="408">
                  <c:v>81.255490136577635</c:v>
                </c:pt>
                <c:pt idx="409">
                  <c:v>81.753867739704319</c:v>
                </c:pt>
                <c:pt idx="410">
                  <c:v>82.246299341905427</c:v>
                </c:pt>
                <c:pt idx="411">
                  <c:v>82.732799690092705</c:v>
                </c:pt>
                <c:pt idx="412">
                  <c:v>83.213384899739296</c:v>
                </c:pt>
                <c:pt idx="413">
                  <c:v>83.688072412674103</c:v>
                </c:pt>
                <c:pt idx="414">
                  <c:v>84.156880955602531</c:v>
                </c:pt>
                <c:pt idx="415">
                  <c:v>84.619830499333773</c:v>
                </c:pt>
                <c:pt idx="416">
                  <c:v>85.076942218697155</c:v>
                </c:pt>
                <c:pt idx="417">
                  <c:v>85.528238453131721</c:v>
                </c:pt>
                <c:pt idx="418">
                  <c:v>85.973742667934999</c:v>
                </c:pt>
                <c:pt idx="419">
                  <c:v>86.413479416158779</c:v>
                </c:pt>
                <c:pt idx="420">
                  <c:v>86.847474301140878</c:v>
                </c:pt>
                <c:pt idx="421">
                  <c:v>87.275753939663076</c:v>
                </c:pt>
                <c:pt idx="422">
                  <c:v>87.698345925726798</c:v>
                </c:pt>
                <c:pt idx="423">
                  <c:v>88.115278794938732</c:v>
                </c:pt>
                <c:pt idx="424">
                  <c:v>88.526581989499533</c:v>
                </c:pt>
                <c:pt idx="425">
                  <c:v>88.932285823789783</c:v>
                </c:pt>
                <c:pt idx="426">
                  <c:v>89.332421450547514</c:v>
                </c:pt>
                <c:pt idx="427">
                  <c:v>89.727020827632543</c:v>
                </c:pt>
                <c:pt idx="428">
                  <c:v>90.116116685373214</c:v>
                </c:pt>
                <c:pt idx="429">
                  <c:v>90.499742494491485</c:v>
                </c:pt>
                <c:pt idx="430">
                  <c:v>90.87793243460267</c:v>
                </c:pt>
                <c:pt idx="431">
                  <c:v>91.250721363286431</c:v>
                </c:pt>
                <c:pt idx="432">
                  <c:v>91.61814478572586</c:v>
                </c:pt>
                <c:pt idx="433">
                  <c:v>91.980238824911481</c:v>
                </c:pt>
                <c:pt idx="434">
                  <c:v>92.337040192407315</c:v>
                </c:pt>
                <c:pt idx="435">
                  <c:v>92.688586159676319</c:v>
                </c:pt>
                <c:pt idx="436">
                  <c:v>93.034914529962066</c:v>
                </c:pt>
                <c:pt idx="437">
                  <c:v>93.37606361072416</c:v>
                </c:pt>
                <c:pt idx="438">
                  <c:v>93.712072186624596</c:v>
                </c:pt>
                <c:pt idx="439">
                  <c:v>94.042979493062063</c:v>
                </c:pt>
                <c:pt idx="440">
                  <c:v>94.368825190251442</c:v>
                </c:pt>
                <c:pt idx="441">
                  <c:v>94.68964933784558</c:v>
                </c:pt>
                <c:pt idx="442">
                  <c:v>95.005492370096079</c:v>
                </c:pt>
                <c:pt idx="443">
                  <c:v>95.316395071550247</c:v>
                </c:pt>
                <c:pt idx="444">
                  <c:v>95.622398553280775</c:v>
                </c:pt>
                <c:pt idx="445">
                  <c:v>95.923544229644719</c:v>
                </c:pt>
                <c:pt idx="446">
                  <c:v>96.219873795568432</c:v>
                </c:pt>
                <c:pt idx="447">
                  <c:v>96.511429204354528</c:v>
                </c:pt>
                <c:pt idx="448">
                  <c:v>96.798252646007441</c:v>
                </c:pt>
                <c:pt idx="449">
                  <c:v>97.080386526073269</c:v>
                </c:pt>
                <c:pt idx="450">
                  <c:v>97.357873444990048</c:v>
                </c:pt>
                <c:pt idx="451">
                  <c:v>97.630756177944107</c:v>
                </c:pt>
                <c:pt idx="452">
                  <c:v>97.89907765522814</c:v>
                </c:pt>
                <c:pt idx="453">
                  <c:v>98.162880943096553</c:v>
                </c:pt>
                <c:pt idx="454">
                  <c:v>98.422209225113122</c:v>
                </c:pt>
                <c:pt idx="455">
                  <c:v>98.677105783986534</c:v>
                </c:pt>
                <c:pt idx="456">
                  <c:v>98.927613983888548</c:v>
                </c:pt>
                <c:pt idx="457">
                  <c:v>99.173777253249725</c:v>
                </c:pt>
                <c:pt idx="458">
                  <c:v>99.415639068027545</c:v>
                </c:pt>
                <c:pt idx="459">
                  <c:v>99.653242935441682</c:v>
                </c:pt>
                <c:pt idx="460">
                  <c:v>99.886632378170532</c:v>
                </c:pt>
                <c:pt idx="461">
                  <c:v>100.11585091900398</c:v>
                </c:pt>
                <c:pt idx="462">
                  <c:v>100.34094206594614</c:v>
                </c:pt>
                <c:pt idx="463">
                  <c:v>100.56194929776265</c:v>
                </c:pt>
                <c:pt idx="464">
                  <c:v>100.77891604996636</c:v>
                </c:pt>
                <c:pt idx="465">
                  <c:v>100.99188570123543</c:v>
                </c:pt>
                <c:pt idx="466">
                  <c:v>101.20090156025815</c:v>
                </c:pt>
                <c:pt idx="467">
                  <c:v>101.40600685299741</c:v>
                </c:pt>
                <c:pt idx="468">
                  <c:v>101.6072447103696</c:v>
                </c:pt>
                <c:pt idx="469">
                  <c:v>101.80465815633085</c:v>
                </c:pt>
                <c:pt idx="470">
                  <c:v>101.99829009636461</c:v>
                </c:pt>
                <c:pt idx="471">
                  <c:v>102.18818330636405</c:v>
                </c:pt>
                <c:pt idx="472">
                  <c:v>102.3743804219027</c:v>
                </c:pt>
                <c:pt idx="473">
                  <c:v>102.55692392788698</c:v>
                </c:pt>
                <c:pt idx="474">
                  <c:v>102.73585614858385</c:v>
                </c:pt>
                <c:pt idx="475">
                  <c:v>102.91121923801714</c:v>
                </c:pt>
                <c:pt idx="476">
                  <c:v>103.08305517072593</c:v>
                </c:pt>
                <c:pt idx="477">
                  <c:v>103.25140573287823</c:v>
                </c:pt>
                <c:pt idx="478">
                  <c:v>103.41631251373332</c:v>
                </c:pt>
                <c:pt idx="479">
                  <c:v>103.57781689744645</c:v>
                </c:pt>
                <c:pt idx="480">
                  <c:v>103.73596005520849</c:v>
                </c:pt>
                <c:pt idx="481">
                  <c:v>103.89078293771476</c:v>
                </c:pt>
                <c:pt idx="482">
                  <c:v>104.04232626795569</c:v>
                </c:pt>
                <c:pt idx="483">
                  <c:v>104.19063053432305</c:v>
                </c:pt>
                <c:pt idx="484">
                  <c:v>104.33573598402506</c:v>
                </c:pt>
                <c:pt idx="485">
                  <c:v>104.47768261680379</c:v>
                </c:pt>
                <c:pt idx="486">
                  <c:v>104.61651017894808</c:v>
                </c:pt>
                <c:pt idx="487">
                  <c:v>104.75225815759593</c:v>
                </c:pt>
                <c:pt idx="488">
                  <c:v>104.8849657753194</c:v>
                </c:pt>
                <c:pt idx="489">
                  <c:v>105.01467198498572</c:v>
                </c:pt>
                <c:pt idx="490">
                  <c:v>105.1414154648884</c:v>
                </c:pt>
                <c:pt idx="491">
                  <c:v>105.26523461414152</c:v>
                </c:pt>
                <c:pt idx="492">
                  <c:v>105.3861675483315</c:v>
                </c:pt>
                <c:pt idx="493">
                  <c:v>105.50425209541957</c:v>
                </c:pt>
                <c:pt idx="494">
                  <c:v>105.61952579188893</c:v>
                </c:pt>
                <c:pt idx="495">
                  <c:v>105.73202587913063</c:v>
                </c:pt>
                <c:pt idx="496">
                  <c:v>105.84178930006171</c:v>
                </c:pt>
                <c:pt idx="497">
                  <c:v>105.94885269597006</c:v>
                </c:pt>
                <c:pt idx="498">
                  <c:v>106.05325240357962</c:v>
                </c:pt>
                <c:pt idx="499">
                  <c:v>106.15502445233035</c:v>
                </c:pt>
                <c:pt idx="500">
                  <c:v>106.25420456186701</c:v>
                </c:pt>
                <c:pt idx="501">
                  <c:v>106.35082813973114</c:v>
                </c:pt>
                <c:pt idx="502">
                  <c:v>106.44493027925034</c:v>
                </c:pt>
                <c:pt idx="503">
                  <c:v>106.53654575761983</c:v>
                </c:pt>
                <c:pt idx="504">
                  <c:v>106.62570903416997</c:v>
                </c:pt>
                <c:pt idx="505">
                  <c:v>106.71245424881513</c:v>
                </c:pt>
                <c:pt idx="506">
                  <c:v>106.79681522067808</c:v>
                </c:pt>
                <c:pt idx="507">
                  <c:v>106.87882544688485</c:v>
                </c:pt>
                <c:pt idx="508">
                  <c:v>106.95851810152472</c:v>
                </c:pt>
                <c:pt idx="509">
                  <c:v>107.03592603477063</c:v>
                </c:pt>
                <c:pt idx="510">
                  <c:v>107.11108177215446</c:v>
                </c:pt>
                <c:pt idx="511">
                  <c:v>107.18401751399284</c:v>
                </c:pt>
                <c:pt idx="512">
                  <c:v>107.25476513495815</c:v>
                </c:pt>
                <c:pt idx="513">
                  <c:v>107.32335618379045</c:v>
                </c:pt>
                <c:pt idx="514">
                  <c:v>107.38982188314522</c:v>
                </c:pt>
                <c:pt idx="515">
                  <c:v>107.45419312957274</c:v>
                </c:pt>
                <c:pt idx="516">
                  <c:v>107.51650049362445</c:v>
                </c:pt>
                <c:pt idx="517">
                  <c:v>107.57677422008172</c:v>
                </c:pt>
                <c:pt idx="518">
                  <c:v>107.6350442283032</c:v>
                </c:pt>
                <c:pt idx="519">
                  <c:v>107.69134011268605</c:v>
                </c:pt>
                <c:pt idx="520">
                  <c:v>107.74569114323717</c:v>
                </c:pt>
                <c:pt idx="521">
                  <c:v>107.79812626625028</c:v>
                </c:pt>
                <c:pt idx="522">
                  <c:v>107.84867410508508</c:v>
                </c:pt>
                <c:pt idx="523">
                  <c:v>107.89736296104428</c:v>
                </c:pt>
                <c:pt idx="524">
                  <c:v>107.94422081434507</c:v>
                </c:pt>
                <c:pt idx="525">
                  <c:v>107.98927532518097</c:v>
                </c:pt>
                <c:pt idx="526">
                  <c:v>108.03255383487091</c:v>
                </c:pt>
                <c:pt idx="527">
                  <c:v>108.07408336709132</c:v>
                </c:pt>
                <c:pt idx="528">
                  <c:v>108.11389062918859</c:v>
                </c:pt>
                <c:pt idx="529">
                  <c:v>108.1520020135678</c:v>
                </c:pt>
                <c:pt idx="530">
                  <c:v>108.18844359915482</c:v>
                </c:pt>
                <c:pt idx="531">
                  <c:v>108.22324115292854</c:v>
                </c:pt>
                <c:pt idx="532">
                  <c:v>108.25642013151996</c:v>
                </c:pt>
                <c:pt idx="533">
                  <c:v>108.28800568287511</c:v>
                </c:pt>
                <c:pt idx="534">
                  <c:v>108.31802264797903</c:v>
                </c:pt>
                <c:pt idx="535">
                  <c:v>108.34649556263759</c:v>
                </c:pt>
                <c:pt idx="536">
                  <c:v>108.37344865931445</c:v>
                </c:pt>
                <c:pt idx="537">
                  <c:v>108.3989058690206</c:v>
                </c:pt>
                <c:pt idx="538">
                  <c:v>108.42289082325345</c:v>
                </c:pt>
                <c:pt idx="539">
                  <c:v>108.44542685598317</c:v>
                </c:pt>
                <c:pt idx="540">
                  <c:v>108.46653700568349</c:v>
                </c:pt>
                <c:pt idx="541">
                  <c:v>108.4862440174047</c:v>
                </c:pt>
                <c:pt idx="542">
                  <c:v>108.50457034488635</c:v>
                </c:pt>
                <c:pt idx="543">
                  <c:v>108.52153815270738</c:v>
                </c:pt>
                <c:pt idx="544">
                  <c:v>108.53716931847119</c:v>
                </c:pt>
                <c:pt idx="545">
                  <c:v>108.55148543502389</c:v>
                </c:pt>
                <c:pt idx="546">
                  <c:v>108.56450781270311</c:v>
                </c:pt>
                <c:pt idx="547">
                  <c:v>108.57625748161576</c:v>
                </c:pt>
                <c:pt idx="548">
                  <c:v>108.58675519394214</c:v>
                </c:pt>
                <c:pt idx="549">
                  <c:v>108.59602142626525</c:v>
                </c:pt>
                <c:pt idx="550">
                  <c:v>108.60407638192267</c:v>
                </c:pt>
                <c:pt idx="551">
                  <c:v>108.61093999337953</c:v>
                </c:pt>
                <c:pt idx="552">
                  <c:v>108.6166319246208</c:v>
                </c:pt>
                <c:pt idx="553">
                  <c:v>108.6211715735612</c:v>
                </c:pt>
                <c:pt idx="554">
                  <c:v>108.62457807447078</c:v>
                </c:pt>
                <c:pt idx="555">
                  <c:v>108.62687030041502</c:v>
                </c:pt>
                <c:pt idx="556">
                  <c:v>108.62806686570754</c:v>
                </c:pt>
                <c:pt idx="557">
                  <c:v>108.62818612837407</c:v>
                </c:pt>
                <c:pt idx="558">
                  <c:v>108.62724619262617</c:v>
                </c:pt>
                <c:pt idx="559">
                  <c:v>108.62526491134338</c:v>
                </c:pt>
                <c:pt idx="560">
                  <c:v>108.62225988856231</c:v>
                </c:pt>
                <c:pt idx="561">
                  <c:v>108.61824848197159</c:v>
                </c:pt>
                <c:pt idx="562">
                  <c:v>108.61324780541106</c:v>
                </c:pt>
                <c:pt idx="563">
                  <c:v>108.6072747313744</c:v>
                </c:pt>
                <c:pt idx="564">
                  <c:v>108.60034589351376</c:v>
                </c:pt>
                <c:pt idx="565">
                  <c:v>108.59247768914528</c:v>
                </c:pt>
                <c:pt idx="566">
                  <c:v>108.58368628175454</c:v>
                </c:pt>
                <c:pt idx="567">
                  <c:v>108.57398760350075</c:v>
                </c:pt>
                <c:pt idx="568">
                  <c:v>108.5633973577189</c:v>
                </c:pt>
                <c:pt idx="569">
                  <c:v>108.55193102141853</c:v>
                </c:pt>
                <c:pt idx="570">
                  <c:v>108.53960384777852</c:v>
                </c:pt>
                <c:pt idx="571">
                  <c:v>108.52643086863708</c:v>
                </c:pt>
                <c:pt idx="572">
                  <c:v>108.51242689697554</c:v>
                </c:pt>
                <c:pt idx="573">
                  <c:v>108.4976065293958</c:v>
                </c:pt>
                <c:pt idx="574">
                  <c:v>108.48198414859021</c:v>
                </c:pt>
                <c:pt idx="575">
                  <c:v>108.46557392580331</c:v>
                </c:pt>
                <c:pt idx="576">
                  <c:v>108.44838982328464</c:v>
                </c:pt>
                <c:pt idx="577">
                  <c:v>108.43044559673189</c:v>
                </c:pt>
                <c:pt idx="578">
                  <c:v>108.41175479772397</c:v>
                </c:pt>
                <c:pt idx="579">
                  <c:v>108.3923307761431</c:v>
                </c:pt>
                <c:pt idx="580">
                  <c:v>108.37218668258529</c:v>
                </c:pt>
                <c:pt idx="581">
                  <c:v>108.35133547075908</c:v>
                </c:pt>
                <c:pt idx="582">
                  <c:v>108.32978989987137</c:v>
                </c:pt>
                <c:pt idx="583">
                  <c:v>108.30756253700044</c:v>
                </c:pt>
                <c:pt idx="584">
                  <c:v>108.28466575945505</c:v>
                </c:pt>
                <c:pt idx="585">
                  <c:v>108.26111175711982</c:v>
                </c:pt>
                <c:pt idx="586">
                  <c:v>108.23691253478584</c:v>
                </c:pt>
                <c:pt idx="587">
                  <c:v>108.2120799144665</c:v>
                </c:pt>
                <c:pt idx="588">
                  <c:v>108.18662553769788</c:v>
                </c:pt>
                <c:pt idx="589">
                  <c:v>108.16056086782372</c:v>
                </c:pt>
                <c:pt idx="590">
                  <c:v>108.13389719226397</c:v>
                </c:pt>
                <c:pt idx="591">
                  <c:v>108.10664562476732</c:v>
                </c:pt>
                <c:pt idx="592">
                  <c:v>108.07881710764678</c:v>
                </c:pt>
                <c:pt idx="593">
                  <c:v>108.0504224139985</c:v>
                </c:pt>
                <c:pt idx="594">
                  <c:v>108.02147214990322</c:v>
                </c:pt>
                <c:pt idx="595">
                  <c:v>107.9919767566103</c:v>
                </c:pt>
                <c:pt idx="596">
                  <c:v>107.96194651270392</c:v>
                </c:pt>
                <c:pt idx="597">
                  <c:v>107.93139153625145</c:v>
                </c:pt>
                <c:pt idx="598">
                  <c:v>107.90032178693365</c:v>
                </c:pt>
                <c:pt idx="599">
                  <c:v>107.86874706815638</c:v>
                </c:pt>
                <c:pt idx="600">
                  <c:v>107.83667702914406</c:v>
                </c:pt>
                <c:pt idx="601">
                  <c:v>107.80412116701423</c:v>
                </c:pt>
                <c:pt idx="602">
                  <c:v>107.77108882883348</c:v>
                </c:pt>
                <c:pt idx="603">
                  <c:v>107.73758921365426</c:v>
                </c:pt>
                <c:pt idx="604">
                  <c:v>107.70363137453292</c:v>
                </c:pt>
                <c:pt idx="605">
                  <c:v>107.66922422052825</c:v>
                </c:pt>
                <c:pt idx="606">
                  <c:v>107.63437651868118</c:v>
                </c:pt>
                <c:pt idx="607">
                  <c:v>107.59909689597478</c:v>
                </c:pt>
                <c:pt idx="608">
                  <c:v>107.56339384127516</c:v>
                </c:pt>
                <c:pt idx="609">
                  <c:v>107.5272757072528</c:v>
                </c:pt>
                <c:pt idx="610">
                  <c:v>107.49075071228451</c:v>
                </c:pt>
                <c:pt idx="611">
                  <c:v>107.45382694233575</c:v>
                </c:pt>
                <c:pt idx="612">
                  <c:v>107.4165123528235</c:v>
                </c:pt>
                <c:pt idx="613">
                  <c:v>107.37881477045966</c:v>
                </c:pt>
                <c:pt idx="614">
                  <c:v>107.34074189507463</c:v>
                </c:pt>
                <c:pt idx="615">
                  <c:v>107.30230130142174</c:v>
                </c:pt>
                <c:pt idx="616">
                  <c:v>107.26350044096183</c:v>
                </c:pt>
                <c:pt idx="617">
                  <c:v>107.22434664362844</c:v>
                </c:pt>
                <c:pt idx="618">
                  <c:v>107.18484711957352</c:v>
                </c:pt>
                <c:pt idx="619">
                  <c:v>107.14500896089363</c:v>
                </c:pt>
                <c:pt idx="620">
                  <c:v>107.10483914333692</c:v>
                </c:pt>
                <c:pt idx="621">
                  <c:v>107.06434452799049</c:v>
                </c:pt>
                <c:pt idx="622">
                  <c:v>107.0235318629486</c:v>
                </c:pt>
                <c:pt idx="623">
                  <c:v>106.98240778496181</c:v>
                </c:pt>
                <c:pt idx="624">
                  <c:v>106.94097882106649</c:v>
                </c:pt>
                <c:pt idx="625">
                  <c:v>106.89925139019581</c:v>
                </c:pt>
                <c:pt idx="626">
                  <c:v>106.85723180477127</c:v>
                </c:pt>
                <c:pt idx="627">
                  <c:v>106.81492627227553</c:v>
                </c:pt>
                <c:pt idx="628">
                  <c:v>106.77234089680633</c:v>
                </c:pt>
                <c:pt idx="629">
                  <c:v>106.72948168061173</c:v>
                </c:pt>
                <c:pt idx="630">
                  <c:v>106.68635452560662</c:v>
                </c:pt>
                <c:pt idx="631">
                  <c:v>106.64296523487072</c:v>
                </c:pt>
                <c:pt idx="632">
                  <c:v>106.59931951412818</c:v>
                </c:pt>
                <c:pt idx="633">
                  <c:v>106.55542297320892</c:v>
                </c:pt>
                <c:pt idx="634">
                  <c:v>106.51128112749147</c:v>
                </c:pt>
                <c:pt idx="635">
                  <c:v>106.46689939932817</c:v>
                </c:pt>
                <c:pt idx="636">
                  <c:v>106.42228311945198</c:v>
                </c:pt>
                <c:pt idx="637">
                  <c:v>106.37743752836568</c:v>
                </c:pt>
                <c:pt idx="638">
                  <c:v>106.33236777771333</c:v>
                </c:pt>
                <c:pt idx="639">
                  <c:v>106.28707893163408</c:v>
                </c:pt>
                <c:pt idx="640">
                  <c:v>106.24157596809854</c:v>
                </c:pt>
                <c:pt idx="641">
                  <c:v>106.19586378022778</c:v>
                </c:pt>
                <c:pt idx="642">
                  <c:v>106.14994717759529</c:v>
                </c:pt>
                <c:pt idx="643">
                  <c:v>106.10383088751176</c:v>
                </c:pt>
                <c:pt idx="644">
                  <c:v>106.05751955629293</c:v>
                </c:pt>
                <c:pt idx="645">
                  <c:v>106.01101775051077</c:v>
                </c:pt>
                <c:pt idx="646">
                  <c:v>105.96432995822803</c:v>
                </c:pt>
                <c:pt idx="647">
                  <c:v>105.91746059021618</c:v>
                </c:pt>
                <c:pt idx="648">
                  <c:v>105.8704139811572</c:v>
                </c:pt>
                <c:pt idx="649">
                  <c:v>105.823194390829</c:v>
                </c:pt>
                <c:pt idx="650">
                  <c:v>105.775806005275</c:v>
                </c:pt>
                <c:pt idx="651">
                  <c:v>105.72825293795763</c:v>
                </c:pt>
                <c:pt idx="652">
                  <c:v>105.68053923089624</c:v>
                </c:pt>
                <c:pt idx="653">
                  <c:v>105.63266885578925</c:v>
                </c:pt>
                <c:pt idx="654">
                  <c:v>105.63262083171531</c:v>
                </c:pt>
                <c:pt idx="655">
                  <c:v>105.63257280749201</c:v>
                </c:pt>
                <c:pt idx="656">
                  <c:v>105.63252478311939</c:v>
                </c:pt>
                <c:pt idx="657">
                  <c:v>105.63247675859745</c:v>
                </c:pt>
                <c:pt idx="658">
                  <c:v>105.63242873392618</c:v>
                </c:pt>
                <c:pt idx="659">
                  <c:v>105.63238070910559</c:v>
                </c:pt>
                <c:pt idx="660">
                  <c:v>105.63233268413569</c:v>
                </c:pt>
                <c:pt idx="661">
                  <c:v>105.63228465901646</c:v>
                </c:pt>
                <c:pt idx="662">
                  <c:v>105.63223663374794</c:v>
                </c:pt>
                <c:pt idx="663">
                  <c:v>105.6321886083301</c:v>
                </c:pt>
                <c:pt idx="664">
                  <c:v>105.63214058276296</c:v>
                </c:pt>
                <c:pt idx="665">
                  <c:v>105.63209255704653</c:v>
                </c:pt>
                <c:pt idx="666">
                  <c:v>105.63204453118081</c:v>
                </c:pt>
                <c:pt idx="667">
                  <c:v>105.63199650516579</c:v>
                </c:pt>
                <c:pt idx="668">
                  <c:v>105.63194847900148</c:v>
                </c:pt>
                <c:pt idx="669">
                  <c:v>105.63190045268789</c:v>
                </c:pt>
                <c:pt idx="670">
                  <c:v>105.63185242622501</c:v>
                </c:pt>
                <c:pt idx="671">
                  <c:v>105.63180439961286</c:v>
                </c:pt>
                <c:pt idx="672">
                  <c:v>105.63175637285146</c:v>
                </c:pt>
                <c:pt idx="673">
                  <c:v>105.63170834594077</c:v>
                </c:pt>
                <c:pt idx="674">
                  <c:v>105.63166031888082</c:v>
                </c:pt>
                <c:pt idx="675">
                  <c:v>105.63161229167163</c:v>
                </c:pt>
                <c:pt idx="676">
                  <c:v>105.63156426431317</c:v>
                </c:pt>
                <c:pt idx="677">
                  <c:v>105.63151623680545</c:v>
                </c:pt>
                <c:pt idx="678">
                  <c:v>105.63146820914849</c:v>
                </c:pt>
                <c:pt idx="679">
                  <c:v>105.63142018134229</c:v>
                </c:pt>
                <c:pt idx="680">
                  <c:v>105.63137215338683</c:v>
                </c:pt>
                <c:pt idx="681">
                  <c:v>105.63132412528213</c:v>
                </c:pt>
                <c:pt idx="682">
                  <c:v>105.63127609702823</c:v>
                </c:pt>
                <c:pt idx="683">
                  <c:v>105.63122806862508</c:v>
                </c:pt>
                <c:pt idx="684">
                  <c:v>105.63118004007271</c:v>
                </c:pt>
                <c:pt idx="685">
                  <c:v>105.63113201137111</c:v>
                </c:pt>
                <c:pt idx="686">
                  <c:v>105.63108398252029</c:v>
                </c:pt>
                <c:pt idx="687">
                  <c:v>105.63103595352027</c:v>
                </c:pt>
                <c:pt idx="688">
                  <c:v>105.63098792437103</c:v>
                </c:pt>
                <c:pt idx="689">
                  <c:v>105.63093989507257</c:v>
                </c:pt>
                <c:pt idx="690">
                  <c:v>105.63089186562492</c:v>
                </c:pt>
                <c:pt idx="691">
                  <c:v>105.63084383602806</c:v>
                </c:pt>
                <c:pt idx="692">
                  <c:v>105.63079580628201</c:v>
                </c:pt>
                <c:pt idx="693">
                  <c:v>105.63074777638677</c:v>
                </c:pt>
                <c:pt idx="694">
                  <c:v>105.63069974634234</c:v>
                </c:pt>
                <c:pt idx="695">
                  <c:v>105.63065171614873</c:v>
                </c:pt>
                <c:pt idx="696">
                  <c:v>105.63060368580594</c:v>
                </c:pt>
                <c:pt idx="697">
                  <c:v>105.63055565531398</c:v>
                </c:pt>
                <c:pt idx="698">
                  <c:v>105.63050762467283</c:v>
                </c:pt>
                <c:pt idx="699">
                  <c:v>105.63045959388252</c:v>
                </c:pt>
                <c:pt idx="700">
                  <c:v>105.63041156294305</c:v>
                </c:pt>
                <c:pt idx="701">
                  <c:v>105.6303635318544</c:v>
                </c:pt>
                <c:pt idx="702">
                  <c:v>105.63031550061659</c:v>
                </c:pt>
                <c:pt idx="703">
                  <c:v>105.63026746922965</c:v>
                </c:pt>
                <c:pt idx="704">
                  <c:v>105.63021943769354</c:v>
                </c:pt>
                <c:pt idx="705">
                  <c:v>105.6301714060083</c:v>
                </c:pt>
                <c:pt idx="706">
                  <c:v>105.63012337417389</c:v>
                </c:pt>
                <c:pt idx="707">
                  <c:v>105.63007534219037</c:v>
                </c:pt>
                <c:pt idx="708">
                  <c:v>105.6300273100577</c:v>
                </c:pt>
                <c:pt idx="709">
                  <c:v>105.62997927777589</c:v>
                </c:pt>
                <c:pt idx="710">
                  <c:v>105.62993124534496</c:v>
                </c:pt>
                <c:pt idx="711">
                  <c:v>105.62988321276491</c:v>
                </c:pt>
                <c:pt idx="712">
                  <c:v>105.62983518003574</c:v>
                </c:pt>
                <c:pt idx="713">
                  <c:v>105.62978714715746</c:v>
                </c:pt>
                <c:pt idx="714">
                  <c:v>105.62973911413005</c:v>
                </c:pt>
                <c:pt idx="715">
                  <c:v>105.62969108095353</c:v>
                </c:pt>
                <c:pt idx="716">
                  <c:v>105.62964304762792</c:v>
                </c:pt>
                <c:pt idx="717">
                  <c:v>105.62959501415321</c:v>
                </c:pt>
                <c:pt idx="718">
                  <c:v>105.62954698052938</c:v>
                </c:pt>
                <c:pt idx="719">
                  <c:v>105.62949894675648</c:v>
                </c:pt>
                <c:pt idx="720">
                  <c:v>105.62945091283447</c:v>
                </c:pt>
                <c:pt idx="721">
                  <c:v>105.62940287876337</c:v>
                </c:pt>
                <c:pt idx="722">
                  <c:v>105.62935484454322</c:v>
                </c:pt>
                <c:pt idx="723">
                  <c:v>105.62930681017396</c:v>
                </c:pt>
                <c:pt idx="724">
                  <c:v>105.62925877565563</c:v>
                </c:pt>
                <c:pt idx="725">
                  <c:v>105.62921074098823</c:v>
                </c:pt>
                <c:pt idx="726">
                  <c:v>105.62916270617177</c:v>
                </c:pt>
                <c:pt idx="727">
                  <c:v>105.62911467120624</c:v>
                </c:pt>
                <c:pt idx="728">
                  <c:v>105.62906663609166</c:v>
                </c:pt>
                <c:pt idx="729">
                  <c:v>105.629018600828</c:v>
                </c:pt>
                <c:pt idx="730">
                  <c:v>105.62897056541533</c:v>
                </c:pt>
                <c:pt idx="731">
                  <c:v>105.62892252985357</c:v>
                </c:pt>
                <c:pt idx="732">
                  <c:v>105.62887449414278</c:v>
                </c:pt>
                <c:pt idx="733">
                  <c:v>105.62882645828294</c:v>
                </c:pt>
                <c:pt idx="734">
                  <c:v>105.62877842227407</c:v>
                </c:pt>
                <c:pt idx="735">
                  <c:v>105.62873038611615</c:v>
                </c:pt>
                <c:pt idx="736">
                  <c:v>105.62868234980922</c:v>
                </c:pt>
                <c:pt idx="737">
                  <c:v>105.62863431335325</c:v>
                </c:pt>
                <c:pt idx="738">
                  <c:v>105.62858627674828</c:v>
                </c:pt>
                <c:pt idx="739">
                  <c:v>105.62853823999428</c:v>
                </c:pt>
                <c:pt idx="740">
                  <c:v>105.62849020309126</c:v>
                </c:pt>
                <c:pt idx="741">
                  <c:v>105.62844216603922</c:v>
                </c:pt>
                <c:pt idx="742">
                  <c:v>105.6283941288382</c:v>
                </c:pt>
                <c:pt idx="743">
                  <c:v>105.62834609148815</c:v>
                </c:pt>
                <c:pt idx="744">
                  <c:v>105.62829805398911</c:v>
                </c:pt>
                <c:pt idx="745">
                  <c:v>105.62825001634107</c:v>
                </c:pt>
                <c:pt idx="746">
                  <c:v>105.62820197854404</c:v>
                </c:pt>
                <c:pt idx="747">
                  <c:v>105.62815394059801</c:v>
                </c:pt>
                <c:pt idx="748">
                  <c:v>105.62810590250301</c:v>
                </c:pt>
                <c:pt idx="749">
                  <c:v>105.62805786425903</c:v>
                </c:pt>
                <c:pt idx="750">
                  <c:v>105.62800982586607</c:v>
                </c:pt>
                <c:pt idx="751">
                  <c:v>105.62796178732412</c:v>
                </c:pt>
                <c:pt idx="752">
                  <c:v>105.62791374863322</c:v>
                </c:pt>
                <c:pt idx="753">
                  <c:v>105.62786570979334</c:v>
                </c:pt>
                <c:pt idx="754">
                  <c:v>105.6278176708045</c:v>
                </c:pt>
                <c:pt idx="755">
                  <c:v>105.62776963166672</c:v>
                </c:pt>
                <c:pt idx="756">
                  <c:v>105.62772159237997</c:v>
                </c:pt>
                <c:pt idx="757">
                  <c:v>105.62767355294427</c:v>
                </c:pt>
                <c:pt idx="758">
                  <c:v>105.62762551335962</c:v>
                </c:pt>
                <c:pt idx="759">
                  <c:v>105.62757747362603</c:v>
                </c:pt>
                <c:pt idx="760">
                  <c:v>105.6275294337435</c:v>
                </c:pt>
                <c:pt idx="761">
                  <c:v>105.62748139371203</c:v>
                </c:pt>
                <c:pt idx="762">
                  <c:v>105.62743335353164</c:v>
                </c:pt>
                <c:pt idx="763">
                  <c:v>105.62738531320232</c:v>
                </c:pt>
                <c:pt idx="764">
                  <c:v>105.62733727272406</c:v>
                </c:pt>
                <c:pt idx="765">
                  <c:v>105.62728923209689</c:v>
                </c:pt>
                <c:pt idx="766">
                  <c:v>105.62724119132081</c:v>
                </c:pt>
                <c:pt idx="767">
                  <c:v>105.6271931503958</c:v>
                </c:pt>
                <c:pt idx="768">
                  <c:v>105.62714510932189</c:v>
                </c:pt>
                <c:pt idx="769">
                  <c:v>105.62709706809908</c:v>
                </c:pt>
                <c:pt idx="770">
                  <c:v>105.62704902672733</c:v>
                </c:pt>
                <c:pt idx="771">
                  <c:v>105.62700098520672</c:v>
                </c:pt>
                <c:pt idx="772">
                  <c:v>105.62695294353722</c:v>
                </c:pt>
                <c:pt idx="773">
                  <c:v>105.6269049017188</c:v>
                </c:pt>
                <c:pt idx="774">
                  <c:v>105.62685685975153</c:v>
                </c:pt>
                <c:pt idx="775">
                  <c:v>105.62680881763535</c:v>
                </c:pt>
                <c:pt idx="776">
                  <c:v>105.62676077537029</c:v>
                </c:pt>
                <c:pt idx="777">
                  <c:v>105.62671273295636</c:v>
                </c:pt>
                <c:pt idx="778">
                  <c:v>105.62666469039357</c:v>
                </c:pt>
                <c:pt idx="779">
                  <c:v>105.6266166476819</c:v>
                </c:pt>
                <c:pt idx="780">
                  <c:v>105.62656860482134</c:v>
                </c:pt>
                <c:pt idx="781">
                  <c:v>105.62652056181196</c:v>
                </c:pt>
                <c:pt idx="782">
                  <c:v>105.6264725186537</c:v>
                </c:pt>
                <c:pt idx="783">
                  <c:v>105.6264244753466</c:v>
                </c:pt>
                <c:pt idx="784">
                  <c:v>105.62637643189063</c:v>
                </c:pt>
                <c:pt idx="785">
                  <c:v>105.62632838828584</c:v>
                </c:pt>
                <c:pt idx="786">
                  <c:v>105.62628034453219</c:v>
                </c:pt>
                <c:pt idx="787">
                  <c:v>105.62623230062971</c:v>
                </c:pt>
                <c:pt idx="788">
                  <c:v>105.62618425657838</c:v>
                </c:pt>
                <c:pt idx="789">
                  <c:v>105.62613621237824</c:v>
                </c:pt>
                <c:pt idx="790">
                  <c:v>105.62608816802927</c:v>
                </c:pt>
                <c:pt idx="791">
                  <c:v>105.62604012353147</c:v>
                </c:pt>
                <c:pt idx="792">
                  <c:v>105.62599207888485</c:v>
                </c:pt>
                <c:pt idx="793">
                  <c:v>105.62594403408941</c:v>
                </c:pt>
                <c:pt idx="794">
                  <c:v>105.62589598914516</c:v>
                </c:pt>
                <c:pt idx="795">
                  <c:v>105.62584794405213</c:v>
                </c:pt>
                <c:pt idx="796">
                  <c:v>105.62579989881026</c:v>
                </c:pt>
                <c:pt idx="797">
                  <c:v>105.6257518534196</c:v>
                </c:pt>
                <c:pt idx="798">
                  <c:v>105.62570380788014</c:v>
                </c:pt>
                <c:pt idx="799">
                  <c:v>105.62565576219191</c:v>
                </c:pt>
                <c:pt idx="800">
                  <c:v>105.62560771635486</c:v>
                </c:pt>
                <c:pt idx="801">
                  <c:v>105.62555967036903</c:v>
                </c:pt>
                <c:pt idx="802">
                  <c:v>105.62551162423443</c:v>
                </c:pt>
                <c:pt idx="803">
                  <c:v>105.62546357795104</c:v>
                </c:pt>
                <c:pt idx="804">
                  <c:v>105.62541553151888</c:v>
                </c:pt>
                <c:pt idx="805">
                  <c:v>105.62536748493797</c:v>
                </c:pt>
                <c:pt idx="806">
                  <c:v>105.62531943820827</c:v>
                </c:pt>
                <c:pt idx="807">
                  <c:v>105.62527139132982</c:v>
                </c:pt>
                <c:pt idx="808">
                  <c:v>105.6252233443026</c:v>
                </c:pt>
                <c:pt idx="809">
                  <c:v>105.62517529712663</c:v>
                </c:pt>
                <c:pt idx="810">
                  <c:v>105.62512724980189</c:v>
                </c:pt>
                <c:pt idx="811">
                  <c:v>105.62507920232842</c:v>
                </c:pt>
                <c:pt idx="812">
                  <c:v>105.62503115470621</c:v>
                </c:pt>
                <c:pt idx="813">
                  <c:v>105.62498310693525</c:v>
                </c:pt>
                <c:pt idx="814">
                  <c:v>105.62493505901554</c:v>
                </c:pt>
                <c:pt idx="815">
                  <c:v>105.62488701094712</c:v>
                </c:pt>
                <c:pt idx="816">
                  <c:v>105.62483896272997</c:v>
                </c:pt>
                <c:pt idx="817">
                  <c:v>105.6247909143641</c:v>
                </c:pt>
                <c:pt idx="818">
                  <c:v>105.6247428658495</c:v>
                </c:pt>
                <c:pt idx="819">
                  <c:v>105.62469481718618</c:v>
                </c:pt>
                <c:pt idx="820">
                  <c:v>105.62464676837413</c:v>
                </c:pt>
                <c:pt idx="821">
                  <c:v>105.62459871941338</c:v>
                </c:pt>
                <c:pt idx="822">
                  <c:v>105.62455067030395</c:v>
                </c:pt>
                <c:pt idx="823">
                  <c:v>105.62450262104579</c:v>
                </c:pt>
                <c:pt idx="824">
                  <c:v>105.62445457163892</c:v>
                </c:pt>
                <c:pt idx="825">
                  <c:v>105.62440652208338</c:v>
                </c:pt>
                <c:pt idx="826">
                  <c:v>105.62435847237914</c:v>
                </c:pt>
                <c:pt idx="827">
                  <c:v>105.62431042252621</c:v>
                </c:pt>
                <c:pt idx="828">
                  <c:v>105.6242623725246</c:v>
                </c:pt>
                <c:pt idx="829">
                  <c:v>105.6242143223743</c:v>
                </c:pt>
                <c:pt idx="830">
                  <c:v>105.62416627207533</c:v>
                </c:pt>
                <c:pt idx="831">
                  <c:v>105.6241182216277</c:v>
                </c:pt>
                <c:pt idx="832">
                  <c:v>105.62407017103139</c:v>
                </c:pt>
                <c:pt idx="833">
                  <c:v>105.62402212028643</c:v>
                </c:pt>
                <c:pt idx="834">
                  <c:v>105.62397406939279</c:v>
                </c:pt>
                <c:pt idx="835">
                  <c:v>105.62392601835049</c:v>
                </c:pt>
                <c:pt idx="836">
                  <c:v>105.62387796715953</c:v>
                </c:pt>
                <c:pt idx="837">
                  <c:v>105.62382991581994</c:v>
                </c:pt>
                <c:pt idx="838">
                  <c:v>105.62378186433169</c:v>
                </c:pt>
                <c:pt idx="839">
                  <c:v>105.62373381269482</c:v>
                </c:pt>
                <c:pt idx="840">
                  <c:v>105.6236857609093</c:v>
                </c:pt>
                <c:pt idx="841">
                  <c:v>105.62363770897512</c:v>
                </c:pt>
                <c:pt idx="842">
                  <c:v>105.62358965689234</c:v>
                </c:pt>
                <c:pt idx="843">
                  <c:v>105.62354160466091</c:v>
                </c:pt>
                <c:pt idx="844">
                  <c:v>105.62349355228086</c:v>
                </c:pt>
                <c:pt idx="845">
                  <c:v>105.62344549975221</c:v>
                </c:pt>
                <c:pt idx="846">
                  <c:v>105.62339744707492</c:v>
                </c:pt>
                <c:pt idx="847">
                  <c:v>105.62334939424903</c:v>
                </c:pt>
                <c:pt idx="848">
                  <c:v>105.62330134127454</c:v>
                </c:pt>
                <c:pt idx="849">
                  <c:v>105.62325328815142</c:v>
                </c:pt>
                <c:pt idx="850">
                  <c:v>105.62320523487971</c:v>
                </c:pt>
                <c:pt idx="851">
                  <c:v>105.6231571814594</c:v>
                </c:pt>
                <c:pt idx="852">
                  <c:v>105.6231091278905</c:v>
                </c:pt>
                <c:pt idx="853">
                  <c:v>105.62306107417301</c:v>
                </c:pt>
                <c:pt idx="854">
                  <c:v>105.62301302030694</c:v>
                </c:pt>
                <c:pt idx="855">
                  <c:v>105.62296496629227</c:v>
                </c:pt>
                <c:pt idx="856">
                  <c:v>105.62291691212903</c:v>
                </c:pt>
                <c:pt idx="857">
                  <c:v>105.62286885781722</c:v>
                </c:pt>
                <c:pt idx="858">
                  <c:v>105.62282080335683</c:v>
                </c:pt>
                <c:pt idx="859">
                  <c:v>105.62277274874786</c:v>
                </c:pt>
                <c:pt idx="860">
                  <c:v>105.62272469399036</c:v>
                </c:pt>
                <c:pt idx="861">
                  <c:v>105.62267663908429</c:v>
                </c:pt>
                <c:pt idx="862">
                  <c:v>105.62262858402964</c:v>
                </c:pt>
                <c:pt idx="863">
                  <c:v>105.62258052882646</c:v>
                </c:pt>
                <c:pt idx="864">
                  <c:v>105.62253247347472</c:v>
                </c:pt>
                <c:pt idx="865">
                  <c:v>105.62248441797445</c:v>
                </c:pt>
                <c:pt idx="866">
                  <c:v>105.62243636232563</c:v>
                </c:pt>
                <c:pt idx="867">
                  <c:v>105.62238830652826</c:v>
                </c:pt>
                <c:pt idx="868">
                  <c:v>105.62234025058237</c:v>
                </c:pt>
                <c:pt idx="869">
                  <c:v>105.62229219448794</c:v>
                </c:pt>
                <c:pt idx="870">
                  <c:v>105.62224413824499</c:v>
                </c:pt>
                <c:pt idx="871">
                  <c:v>105.62219608185353</c:v>
                </c:pt>
                <c:pt idx="872">
                  <c:v>105.62214802531354</c:v>
                </c:pt>
                <c:pt idx="873">
                  <c:v>105.62209996862504</c:v>
                </c:pt>
                <c:pt idx="874">
                  <c:v>105.62205191178801</c:v>
                </c:pt>
                <c:pt idx="875">
                  <c:v>105.62200385480249</c:v>
                </c:pt>
                <c:pt idx="876">
                  <c:v>105.62195579766848</c:v>
                </c:pt>
                <c:pt idx="877">
                  <c:v>105.62190774038595</c:v>
                </c:pt>
                <c:pt idx="878">
                  <c:v>105.62185968295492</c:v>
                </c:pt>
                <c:pt idx="879">
                  <c:v>105.6218116253754</c:v>
                </c:pt>
                <c:pt idx="880">
                  <c:v>105.62176356764741</c:v>
                </c:pt>
                <c:pt idx="881">
                  <c:v>105.62171550977091</c:v>
                </c:pt>
                <c:pt idx="882">
                  <c:v>105.62166745174595</c:v>
                </c:pt>
                <c:pt idx="883">
                  <c:v>105.6216193935725</c:v>
                </c:pt>
                <c:pt idx="884">
                  <c:v>105.62157133525056</c:v>
                </c:pt>
                <c:pt idx="885">
                  <c:v>105.62152327678018</c:v>
                </c:pt>
                <c:pt idx="886">
                  <c:v>105.62147521816132</c:v>
                </c:pt>
                <c:pt idx="887">
                  <c:v>105.621427159394</c:v>
                </c:pt>
                <c:pt idx="888">
                  <c:v>105.62137910047822</c:v>
                </c:pt>
                <c:pt idx="889">
                  <c:v>105.62133104141398</c:v>
                </c:pt>
                <c:pt idx="890">
                  <c:v>105.62128298220129</c:v>
                </c:pt>
                <c:pt idx="891">
                  <c:v>105.62123492284016</c:v>
                </c:pt>
                <c:pt idx="892">
                  <c:v>105.62118686333058</c:v>
                </c:pt>
                <c:pt idx="893">
                  <c:v>105.62113880367258</c:v>
                </c:pt>
                <c:pt idx="894">
                  <c:v>105.62109074386612</c:v>
                </c:pt>
                <c:pt idx="895">
                  <c:v>105.62104268391123</c:v>
                </c:pt>
                <c:pt idx="896">
                  <c:v>105.62099462380792</c:v>
                </c:pt>
                <c:pt idx="897">
                  <c:v>105.62094656355617</c:v>
                </c:pt>
                <c:pt idx="898">
                  <c:v>105.62089850315601</c:v>
                </c:pt>
                <c:pt idx="899">
                  <c:v>105.62085044260743</c:v>
                </c:pt>
                <c:pt idx="900">
                  <c:v>105.62080238191045</c:v>
                </c:pt>
                <c:pt idx="901">
                  <c:v>105.62075432106505</c:v>
                </c:pt>
                <c:pt idx="902">
                  <c:v>105.62070626007124</c:v>
                </c:pt>
                <c:pt idx="903">
                  <c:v>105.62065819892904</c:v>
                </c:pt>
                <c:pt idx="904">
                  <c:v>105.62061013763842</c:v>
                </c:pt>
                <c:pt idx="905">
                  <c:v>105.62056207619942</c:v>
                </c:pt>
                <c:pt idx="906">
                  <c:v>105.62051401461204</c:v>
                </c:pt>
                <c:pt idx="907">
                  <c:v>105.62046595287626</c:v>
                </c:pt>
                <c:pt idx="908">
                  <c:v>105.6204178909921</c:v>
                </c:pt>
                <c:pt idx="909">
                  <c:v>105.62036982895954</c:v>
                </c:pt>
                <c:pt idx="910">
                  <c:v>105.62032176677863</c:v>
                </c:pt>
                <c:pt idx="911">
                  <c:v>105.62027370444933</c:v>
                </c:pt>
                <c:pt idx="912">
                  <c:v>105.62022564197167</c:v>
                </c:pt>
                <c:pt idx="913">
                  <c:v>105.62017757934564</c:v>
                </c:pt>
                <c:pt idx="914">
                  <c:v>105.62012951657124</c:v>
                </c:pt>
                <c:pt idx="915">
                  <c:v>105.62008145364851</c:v>
                </c:pt>
                <c:pt idx="916">
                  <c:v>105.6200333905774</c:v>
                </c:pt>
                <c:pt idx="917">
                  <c:v>105.61998532735797</c:v>
                </c:pt>
                <c:pt idx="918">
                  <c:v>105.61993726399017</c:v>
                </c:pt>
                <c:pt idx="919">
                  <c:v>105.61988920047403</c:v>
                </c:pt>
                <c:pt idx="920">
                  <c:v>105.61984113680955</c:v>
                </c:pt>
                <c:pt idx="921">
                  <c:v>105.61979307299674</c:v>
                </c:pt>
                <c:pt idx="922">
                  <c:v>105.61974500903561</c:v>
                </c:pt>
                <c:pt idx="923">
                  <c:v>105.61969694492613</c:v>
                </c:pt>
                <c:pt idx="924">
                  <c:v>105.61964888066835</c:v>
                </c:pt>
                <c:pt idx="925">
                  <c:v>105.61960081626223</c:v>
                </c:pt>
                <c:pt idx="926">
                  <c:v>105.61955275170781</c:v>
                </c:pt>
                <c:pt idx="927">
                  <c:v>105.61950468700506</c:v>
                </c:pt>
                <c:pt idx="928">
                  <c:v>105.61945662215403</c:v>
                </c:pt>
                <c:pt idx="929">
                  <c:v>105.61940855715469</c:v>
                </c:pt>
                <c:pt idx="930">
                  <c:v>105.61936049200702</c:v>
                </c:pt>
                <c:pt idx="931">
                  <c:v>105.61931242671108</c:v>
                </c:pt>
                <c:pt idx="932">
                  <c:v>105.61926436126683</c:v>
                </c:pt>
                <c:pt idx="933">
                  <c:v>105.61921629567429</c:v>
                </c:pt>
                <c:pt idx="934">
                  <c:v>105.61916822993348</c:v>
                </c:pt>
                <c:pt idx="935">
                  <c:v>105.61912016404438</c:v>
                </c:pt>
                <c:pt idx="936">
                  <c:v>105.619072098007</c:v>
                </c:pt>
                <c:pt idx="937">
                  <c:v>105.61902403182135</c:v>
                </c:pt>
                <c:pt idx="938">
                  <c:v>105.61897596548741</c:v>
                </c:pt>
                <c:pt idx="939">
                  <c:v>105.61892789900523</c:v>
                </c:pt>
                <c:pt idx="940">
                  <c:v>105.61887983237476</c:v>
                </c:pt>
                <c:pt idx="941">
                  <c:v>105.61883176559604</c:v>
                </c:pt>
                <c:pt idx="942">
                  <c:v>105.61878369866906</c:v>
                </c:pt>
                <c:pt idx="943">
                  <c:v>105.61873563159385</c:v>
                </c:pt>
                <c:pt idx="944">
                  <c:v>105.61868756437038</c:v>
                </c:pt>
                <c:pt idx="945">
                  <c:v>105.61863949699865</c:v>
                </c:pt>
                <c:pt idx="946">
                  <c:v>105.6185914294787</c:v>
                </c:pt>
                <c:pt idx="947">
                  <c:v>105.61854336181051</c:v>
                </c:pt>
                <c:pt idx="948">
                  <c:v>105.61849529399407</c:v>
                </c:pt>
                <c:pt idx="949">
                  <c:v>105.61844722602942</c:v>
                </c:pt>
                <c:pt idx="950">
                  <c:v>105.61839915791654</c:v>
                </c:pt>
                <c:pt idx="951">
                  <c:v>105.61835108965542</c:v>
                </c:pt>
                <c:pt idx="952">
                  <c:v>105.61830302124611</c:v>
                </c:pt>
                <c:pt idx="953">
                  <c:v>105.61825495268856</c:v>
                </c:pt>
                <c:pt idx="954">
                  <c:v>105.61820688398281</c:v>
                </c:pt>
                <c:pt idx="955">
                  <c:v>105.61815881512887</c:v>
                </c:pt>
                <c:pt idx="956">
                  <c:v>105.6181107461267</c:v>
                </c:pt>
                <c:pt idx="957">
                  <c:v>105.61806267697634</c:v>
                </c:pt>
                <c:pt idx="958">
                  <c:v>105.61801460767779</c:v>
                </c:pt>
                <c:pt idx="959">
                  <c:v>105.61796653823104</c:v>
                </c:pt>
                <c:pt idx="960">
                  <c:v>105.61791846863611</c:v>
                </c:pt>
                <c:pt idx="961">
                  <c:v>105.61787039889298</c:v>
                </c:pt>
                <c:pt idx="962">
                  <c:v>105.61782232900168</c:v>
                </c:pt>
                <c:pt idx="963">
                  <c:v>105.61777425896219</c:v>
                </c:pt>
                <c:pt idx="964">
                  <c:v>105.61772618877454</c:v>
                </c:pt>
                <c:pt idx="965">
                  <c:v>105.61767811843873</c:v>
                </c:pt>
                <c:pt idx="966">
                  <c:v>105.61763004795475</c:v>
                </c:pt>
                <c:pt idx="967">
                  <c:v>105.61758197732259</c:v>
                </c:pt>
                <c:pt idx="968">
                  <c:v>105.61753390654229</c:v>
                </c:pt>
                <c:pt idx="969">
                  <c:v>105.61748583561382</c:v>
                </c:pt>
                <c:pt idx="970">
                  <c:v>105.6174377645372</c:v>
                </c:pt>
                <c:pt idx="971">
                  <c:v>105.61738969331243</c:v>
                </c:pt>
                <c:pt idx="972">
                  <c:v>105.61734162193953</c:v>
                </c:pt>
                <c:pt idx="973">
                  <c:v>105.61729355041849</c:v>
                </c:pt>
                <c:pt idx="974">
                  <c:v>105.61724547874933</c:v>
                </c:pt>
                <c:pt idx="975">
                  <c:v>105.61719740693199</c:v>
                </c:pt>
                <c:pt idx="976">
                  <c:v>105.61714933496656</c:v>
                </c:pt>
                <c:pt idx="977">
                  <c:v>105.61710126285298</c:v>
                </c:pt>
                <c:pt idx="978">
                  <c:v>105.61705319059128</c:v>
                </c:pt>
                <c:pt idx="979">
                  <c:v>105.61700511818148</c:v>
                </c:pt>
                <c:pt idx="980">
                  <c:v>105.61695704562356</c:v>
                </c:pt>
                <c:pt idx="981">
                  <c:v>105.61690897291753</c:v>
                </c:pt>
                <c:pt idx="982">
                  <c:v>105.61686090006339</c:v>
                </c:pt>
                <c:pt idx="983">
                  <c:v>105.61681282706115</c:v>
                </c:pt>
                <c:pt idx="984">
                  <c:v>105.61676475391083</c:v>
                </c:pt>
                <c:pt idx="985">
                  <c:v>105.61671668061238</c:v>
                </c:pt>
                <c:pt idx="986">
                  <c:v>105.61666860716585</c:v>
                </c:pt>
                <c:pt idx="987">
                  <c:v>105.61662053357125</c:v>
                </c:pt>
                <c:pt idx="988">
                  <c:v>105.61657245982855</c:v>
                </c:pt>
                <c:pt idx="989">
                  <c:v>105.61652438593778</c:v>
                </c:pt>
                <c:pt idx="990">
                  <c:v>105.61647631189892</c:v>
                </c:pt>
                <c:pt idx="991">
                  <c:v>105.61642823771201</c:v>
                </c:pt>
                <c:pt idx="992">
                  <c:v>105.61638016337703</c:v>
                </c:pt>
                <c:pt idx="993">
                  <c:v>105.61633208889397</c:v>
                </c:pt>
                <c:pt idx="994">
                  <c:v>105.61628401426286</c:v>
                </c:pt>
                <c:pt idx="995">
                  <c:v>105.6162359394837</c:v>
                </c:pt>
                <c:pt idx="996">
                  <c:v>105.61618786455648</c:v>
                </c:pt>
                <c:pt idx="997">
                  <c:v>105.6161397894812</c:v>
                </c:pt>
                <c:pt idx="998">
                  <c:v>105.61609171425788</c:v>
                </c:pt>
                <c:pt idx="999">
                  <c:v>105.61604363888652</c:v>
                </c:pt>
                <c:pt idx="1000">
                  <c:v>105.61599556336712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D-4013-AEEF-2FD179FA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25760"/>
        <c:axId val="149132032"/>
      </c:scatterChart>
      <c:valAx>
        <c:axId val="14912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32032"/>
        <c:crosses val="autoZero"/>
        <c:crossBetween val="midCat"/>
      </c:valAx>
      <c:valAx>
        <c:axId val="14913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9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12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9684544148961"/>
          <c:y val="0.46444479440069991"/>
          <c:w val="0.13207559550339221"/>
          <c:h val="7.777777777777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104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10.126043027559639</c:v>
                </c:pt>
                <c:pt idx="2">
                  <c:v>77.374332274223946</c:v>
                </c:pt>
                <c:pt idx="3">
                  <c:v>105.54732662313131</c:v>
                </c:pt>
                <c:pt idx="4">
                  <c:v>94.633007113106743</c:v>
                </c:pt>
                <c:pt idx="5">
                  <c:v>88.881394199510197</c:v>
                </c:pt>
                <c:pt idx="6">
                  <c:v>88.294776529564757</c:v>
                </c:pt>
                <c:pt idx="7">
                  <c:v>87.707347205013036</c:v>
                </c:pt>
                <c:pt idx="8">
                  <c:v>87.119133840428873</c:v>
                </c:pt>
                <c:pt idx="9">
                  <c:v>86.530163940992324</c:v>
                </c:pt>
                <c:pt idx="10">
                  <c:v>85.940464899210042</c:v>
                </c:pt>
                <c:pt idx="11">
                  <c:v>85.350063991684394</c:v>
                </c:pt>
                <c:pt idx="12">
                  <c:v>84.758988375932589</c:v>
                </c:pt>
                <c:pt idx="13">
                  <c:v>84.167265087255643</c:v>
                </c:pt>
                <c:pt idx="14">
                  <c:v>83.574921035658193</c:v>
                </c:pt>
                <c:pt idx="15">
                  <c:v>82.981983002818978</c:v>
                </c:pt>
                <c:pt idx="16">
                  <c:v>82.388477639112551</c:v>
                </c:pt>
                <c:pt idx="17">
                  <c:v>81.794431460682659</c:v>
                </c:pt>
                <c:pt idx="18">
                  <c:v>81.199870846567464</c:v>
                </c:pt>
                <c:pt idx="19">
                  <c:v>80.604822035876722</c:v>
                </c:pt>
                <c:pt idx="20">
                  <c:v>80.009311125021654</c:v>
                </c:pt>
                <c:pt idx="21">
                  <c:v>79.413364064997182</c:v>
                </c:pt>
                <c:pt idx="22">
                  <c:v>78.817006658717133</c:v>
                </c:pt>
                <c:pt idx="23">
                  <c:v>78.22026455840242</c:v>
                </c:pt>
                <c:pt idx="24">
                  <c:v>77.623163263022477</c:v>
                </c:pt>
                <c:pt idx="25">
                  <c:v>77.025728115789946</c:v>
                </c:pt>
                <c:pt idx="26">
                  <c:v>76.427984301708918</c:v>
                </c:pt>
                <c:pt idx="27">
                  <c:v>75.829956845176781</c:v>
                </c:pt>
                <c:pt idx="28">
                  <c:v>75.231670607639543</c:v>
                </c:pt>
                <c:pt idx="29">
                  <c:v>74.633150285301213</c:v>
                </c:pt>
                <c:pt idx="30">
                  <c:v>74.034420406886511</c:v>
                </c:pt>
                <c:pt idx="31">
                  <c:v>73.435505331457847</c:v>
                </c:pt>
                <c:pt idx="32">
                  <c:v>72.836429246285803</c:v>
                </c:pt>
                <c:pt idx="33">
                  <c:v>72.237216164773443</c:v>
                </c:pt>
                <c:pt idx="34">
                  <c:v>71.637889924434546</c:v>
                </c:pt>
                <c:pt idx="35">
                  <c:v>71.038474184925334</c:v>
                </c:pt>
                <c:pt idx="36">
                  <c:v>70.438992426130056</c:v>
                </c:pt>
                <c:pt idx="37">
                  <c:v>69.839467946299891</c:v>
                </c:pt>
                <c:pt idx="38">
                  <c:v>69.239923860245597</c:v>
                </c:pt>
                <c:pt idx="39">
                  <c:v>68.640383097583268</c:v>
                </c:pt>
                <c:pt idx="40">
                  <c:v>68.040868401033279</c:v>
                </c:pt>
                <c:pt idx="41">
                  <c:v>67.441402324772469</c:v>
                </c:pt>
                <c:pt idx="42">
                  <c:v>66.842007232839023</c:v>
                </c:pt>
                <c:pt idx="43">
                  <c:v>66.242705297590021</c:v>
                </c:pt>
                <c:pt idx="44">
                  <c:v>65.643518498211535</c:v>
                </c:pt>
                <c:pt idx="45">
                  <c:v>65.044468619281133</c:v>
                </c:pt>
                <c:pt idx="46">
                  <c:v>64.445577249381927</c:v>
                </c:pt>
                <c:pt idx="47">
                  <c:v>63.846865779769047</c:v>
                </c:pt>
                <c:pt idx="48">
                  <c:v>63.248355403087054</c:v>
                </c:pt>
                <c:pt idx="49">
                  <c:v>62.650067112138856</c:v>
                </c:pt>
                <c:pt idx="50">
                  <c:v>62.05202169870563</c:v>
                </c:pt>
                <c:pt idx="51">
                  <c:v>61.454239752417209</c:v>
                </c:pt>
                <c:pt idx="52">
                  <c:v>60.856741659672871</c:v>
                </c:pt>
                <c:pt idx="53">
                  <c:v>60.259547602612017</c:v>
                </c:pt>
                <c:pt idx="54">
                  <c:v>59.662677558134767</c:v>
                </c:pt>
                <c:pt idx="55">
                  <c:v>59.066151296971519</c:v>
                </c:pt>
                <c:pt idx="56">
                  <c:v>58.469988382801567</c:v>
                </c:pt>
                <c:pt idx="57">
                  <c:v>57.8742081714203</c:v>
                </c:pt>
                <c:pt idx="58">
                  <c:v>57.278829809954495</c:v>
                </c:pt>
                <c:pt idx="59">
                  <c:v>56.683872236125424</c:v>
                </c:pt>
                <c:pt idx="60">
                  <c:v>56.08935417755923</c:v>
                </c:pt>
                <c:pt idx="61">
                  <c:v>55.495294151144179</c:v>
                </c:pt>
                <c:pt idx="62">
                  <c:v>54.901710462434586</c:v>
                </c:pt>
                <c:pt idx="63">
                  <c:v>53.853065663172458</c:v>
                </c:pt>
                <c:pt idx="64">
                  <c:v>52.34983819035979</c:v>
                </c:pt>
                <c:pt idx="65">
                  <c:v>50.848514967751164</c:v>
                </c:pt>
                <c:pt idx="66">
                  <c:v>49.349159620156321</c:v>
                </c:pt>
                <c:pt idx="67">
                  <c:v>47.433904362923037</c:v>
                </c:pt>
                <c:pt idx="68">
                  <c:v>45.103313191712061</c:v>
                </c:pt>
                <c:pt idx="69">
                  <c:v>42.032687996592557</c:v>
                </c:pt>
                <c:pt idx="70">
                  <c:v>38.223166072654564</c:v>
                </c:pt>
                <c:pt idx="71">
                  <c:v>34.420157497563117</c:v>
                </c:pt>
                <c:pt idx="72">
                  <c:v>30.623935263864318</c:v>
                </c:pt>
                <c:pt idx="73">
                  <c:v>26.834764517996796</c:v>
                </c:pt>
                <c:pt idx="74">
                  <c:v>23.052902558241811</c:v>
                </c:pt>
                <c:pt idx="75">
                  <c:v>19.278598837392821</c:v>
                </c:pt>
                <c:pt idx="76">
                  <c:v>15.512094970023995</c:v>
                </c:pt>
                <c:pt idx="77">
                  <c:v>11.753624744236493</c:v>
                </c:pt>
                <c:pt idx="78">
                  <c:v>8.0034141377580514</c:v>
                </c:pt>
                <c:pt idx="79">
                  <c:v>4.2616813382702325</c:v>
                </c:pt>
                <c:pt idx="80">
                  <c:v>0.52863676783672808</c:v>
                </c:pt>
                <c:pt idx="81">
                  <c:v>-2.3097182928199711</c:v>
                </c:pt>
                <c:pt idx="82">
                  <c:v>-4.2552630383584855</c:v>
                </c:pt>
                <c:pt idx="83">
                  <c:v>-6.1960526028486083</c:v>
                </c:pt>
                <c:pt idx="84">
                  <c:v>-8.1320447647167455</c:v>
                </c:pt>
                <c:pt idx="85">
                  <c:v>-10.063199345513866</c:v>
                </c:pt>
                <c:pt idx="86">
                  <c:v>-11.989478193113444</c:v>
                </c:pt>
                <c:pt idx="87">
                  <c:v>-13.910845164537873</c:v>
                </c:pt>
                <c:pt idx="88">
                  <c:v>-15.827266108431843</c:v>
                </c:pt>
                <c:pt idx="89">
                  <c:v>-17.458708182397672</c:v>
                </c:pt>
                <c:pt idx="90">
                  <c:v>-18.805869650589386</c:v>
                </c:pt>
                <c:pt idx="91">
                  <c:v>-20.149512096180487</c:v>
                </c:pt>
                <c:pt idx="92">
                  <c:v>-21.489628169260747</c:v>
                </c:pt>
                <c:pt idx="93">
                  <c:v>-22.756191073506457</c:v>
                </c:pt>
                <c:pt idx="94">
                  <c:v>-23.94938354532859</c:v>
                </c:pt>
                <c:pt idx="95">
                  <c:v>-25.139419845642358</c:v>
                </c:pt>
                <c:pt idx="96">
                  <c:v>-26.32629909861236</c:v>
                </c:pt>
                <c:pt idx="97">
                  <c:v>-27.229888743459068</c:v>
                </c:pt>
                <c:pt idx="98">
                  <c:v>-27.850962544226487</c:v>
                </c:pt>
                <c:pt idx="99">
                  <c:v>-28.470450486887668</c:v>
                </c:pt>
                <c:pt idx="100">
                  <c:v>-29.088358534651476</c:v>
                </c:pt>
                <c:pt idx="101">
                  <c:v>-29.704692800800871</c:v>
                </c:pt>
                <c:pt idx="102">
                  <c:v>-30.319459546583644</c:v>
                </c:pt>
                <c:pt idx="103">
                  <c:v>-30.93266517912069</c:v>
                </c:pt>
                <c:pt idx="104">
                  <c:v>-31.544316249332208</c:v>
                </c:pt>
                <c:pt idx="105">
                  <c:v>-32.154419449881829</c:v>
                </c:pt>
                <c:pt idx="106">
                  <c:v>-32.762981613139132</c:v>
                </c:pt>
                <c:pt idx="107">
                  <c:v>-33.37000970916062</c:v>
                </c:pt>
                <c:pt idx="108">
                  <c:v>-33.975510843689598</c:v>
                </c:pt>
                <c:pt idx="109">
                  <c:v>-34.229261164107442</c:v>
                </c:pt>
                <c:pt idx="110">
                  <c:v>-34.132263249825314</c:v>
                </c:pt>
                <c:pt idx="111">
                  <c:v>-34.035742463939826</c:v>
                </c:pt>
                <c:pt idx="112">
                  <c:v>-33.939695682249564</c:v>
                </c:pt>
                <c:pt idx="113">
                  <c:v>-33.844119806241494</c:v>
                </c:pt>
                <c:pt idx="114">
                  <c:v>-33.749011762837</c:v>
                </c:pt>
                <c:pt idx="115">
                  <c:v>-33.654368504140706</c:v>
                </c:pt>
                <c:pt idx="116">
                  <c:v>-33.560187007192276</c:v>
                </c:pt>
                <c:pt idx="117">
                  <c:v>-33.466464273721058</c:v>
                </c:pt>
                <c:pt idx="118">
                  <c:v>-33.373197329903547</c:v>
                </c:pt>
                <c:pt idx="119">
                  <c:v>-33.280383226123647</c:v>
                </c:pt>
                <c:pt idx="120">
                  <c:v>-33.188019036735589</c:v>
                </c:pt>
                <c:pt idx="121">
                  <c:v>-33.096101859829631</c:v>
                </c:pt>
                <c:pt idx="122">
                  <c:v>-33.004628817000494</c:v>
                </c:pt>
                <c:pt idx="123">
                  <c:v>-32.913597053118302</c:v>
                </c:pt>
                <c:pt idx="124">
                  <c:v>-32.823003736102173</c:v>
                </c:pt>
                <c:pt idx="125">
                  <c:v>-32.732846056696459</c:v>
                </c:pt>
                <c:pt idx="126">
                  <c:v>-32.643121228249363</c:v>
                </c:pt>
                <c:pt idx="127">
                  <c:v>-32.553826486494273</c:v>
                </c:pt>
                <c:pt idx="128">
                  <c:v>-32.464959089333306</c:v>
                </c:pt>
                <c:pt idx="129">
                  <c:v>-32.376516316623608</c:v>
                </c:pt>
                <c:pt idx="130">
                  <c:v>-32.288495469965689</c:v>
                </c:pt>
                <c:pt idx="131">
                  <c:v>-32.200893872494504</c:v>
                </c:pt>
                <c:pt idx="132">
                  <c:v>-32.11370886867261</c:v>
                </c:pt>
                <c:pt idx="133">
                  <c:v>-32.026937824085778</c:v>
                </c:pt>
                <c:pt idx="134">
                  <c:v>-31.94057812524083</c:v>
                </c:pt>
                <c:pt idx="135">
                  <c:v>-31.854627179365771</c:v>
                </c:pt>
                <c:pt idx="136">
                  <c:v>-31.769082414212136</c:v>
                </c:pt>
                <c:pt idx="137">
                  <c:v>-31.683941277859532</c:v>
                </c:pt>
                <c:pt idx="138">
                  <c:v>-31.599201238522362</c:v>
                </c:pt>
                <c:pt idx="139">
                  <c:v>-31.514859784358642</c:v>
                </c:pt>
                <c:pt idx="140">
                  <c:v>-31.430914423281063</c:v>
                </c:pt>
                <c:pt idx="141">
                  <c:v>-31.34736268276999</c:v>
                </c:pt>
                <c:pt idx="142">
                  <c:v>-31.2642021096886</c:v>
                </c:pt>
                <c:pt idx="143">
                  <c:v>-31.181430270100119</c:v>
                </c:pt>
                <c:pt idx="144">
                  <c:v>-31.099044749086925</c:v>
                </c:pt>
                <c:pt idx="145">
                  <c:v>-31.017043150571745</c:v>
                </c:pt>
                <c:pt idx="146">
                  <c:v>-30.935423097140834</c:v>
                </c:pt>
                <c:pt idx="147">
                  <c:v>-30.854182229868989</c:v>
                </c:pt>
                <c:pt idx="148">
                  <c:v>-30.773318208146527</c:v>
                </c:pt>
                <c:pt idx="149">
                  <c:v>-30.69282870950822</c:v>
                </c:pt>
                <c:pt idx="150">
                  <c:v>-30.61271142946395</c:v>
                </c:pt>
                <c:pt idx="151">
                  <c:v>-30.532964081331361</c:v>
                </c:pt>
                <c:pt idx="152">
                  <c:v>-30.453584396070227</c:v>
                </c:pt>
                <c:pt idx="153">
                  <c:v>-30.37457012211862</c:v>
                </c:pt>
                <c:pt idx="154">
                  <c:v>-30.295919025230969</c:v>
                </c:pt>
                <c:pt idx="155">
                  <c:v>-30.217628888317655</c:v>
                </c:pt>
                <c:pt idx="156">
                  <c:v>-30.139697511286577</c:v>
                </c:pt>
                <c:pt idx="157">
                  <c:v>-30.062122710886271</c:v>
                </c:pt>
                <c:pt idx="158">
                  <c:v>-29.984902320550749</c:v>
                </c:pt>
                <c:pt idx="159">
                  <c:v>-29.908034190246038</c:v>
                </c:pt>
                <c:pt idx="160">
                  <c:v>-29.831516186318346</c:v>
                </c:pt>
                <c:pt idx="161">
                  <c:v>-29.755346191343843</c:v>
                </c:pt>
                <c:pt idx="162">
                  <c:v>-29.679522103980055</c:v>
                </c:pt>
                <c:pt idx="163">
                  <c:v>-29.604041838818876</c:v>
                </c:pt>
                <c:pt idx="164">
                  <c:v>-29.528903326241135</c:v>
                </c:pt>
                <c:pt idx="165">
                  <c:v>-29.454104512272632</c:v>
                </c:pt>
                <c:pt idx="166">
                  <c:v>-29.379643358441822</c:v>
                </c:pt>
                <c:pt idx="167">
                  <c:v>-29.305517841638981</c:v>
                </c:pt>
                <c:pt idx="168">
                  <c:v>-29.231725953976785</c:v>
                </c:pt>
                <c:pt idx="169">
                  <c:v>-29.15826570265245</c:v>
                </c:pt>
                <c:pt idx="170">
                  <c:v>-29.085135109811347</c:v>
                </c:pt>
                <c:pt idx="171">
                  <c:v>-29.012332212411913</c:v>
                </c:pt>
                <c:pt idx="172">
                  <c:v>-28.939855062092157</c:v>
                </c:pt>
                <c:pt idx="173">
                  <c:v>-28.867701725037499</c:v>
                </c:pt>
                <c:pt idx="174">
                  <c:v>-28.795870281849908</c:v>
                </c:pt>
                <c:pt idx="175">
                  <c:v>-28.724358827418612</c:v>
                </c:pt>
                <c:pt idx="176">
                  <c:v>-28.653165470791976</c:v>
                </c:pt>
                <c:pt idx="177">
                  <c:v>-28.582288335050798</c:v>
                </c:pt>
                <c:pt idx="178">
                  <c:v>-28.511725557182938</c:v>
                </c:pt>
                <c:pt idx="179">
                  <c:v>-28.441475287959214</c:v>
                </c:pt>
                <c:pt idx="180">
                  <c:v>-28.371535691810625</c:v>
                </c:pt>
                <c:pt idx="181">
                  <c:v>-28.301904946706848</c:v>
                </c:pt>
                <c:pt idx="182">
                  <c:v>-28.232581244035934</c:v>
                </c:pt>
                <c:pt idx="183">
                  <c:v>-28.163562788485361</c:v>
                </c:pt>
                <c:pt idx="184">
                  <c:v>-28.094847797924206</c:v>
                </c:pt>
                <c:pt idx="185">
                  <c:v>-28.026434503286605</c:v>
                </c:pt>
                <c:pt idx="186">
                  <c:v>-27.958321148456413</c:v>
                </c:pt>
                <c:pt idx="187">
                  <c:v>-27.890505990152967</c:v>
                </c:pt>
                <c:pt idx="188">
                  <c:v>-27.822987297818159</c:v>
                </c:pt>
                <c:pt idx="189">
                  <c:v>-27.75576335350457</c:v>
                </c:pt>
                <c:pt idx="190">
                  <c:v>-27.688832451764753</c:v>
                </c:pt>
                <c:pt idx="191">
                  <c:v>-27.622192899541702</c:v>
                </c:pt>
                <c:pt idx="192">
                  <c:v>-27.555843016060436</c:v>
                </c:pt>
                <c:pt idx="193">
                  <c:v>-27.48978113272058</c:v>
                </c:pt>
                <c:pt idx="194">
                  <c:v>-27.424005592990209</c:v>
                </c:pt>
                <c:pt idx="195">
                  <c:v>-27.358514752300678</c:v>
                </c:pt>
                <c:pt idx="196">
                  <c:v>-27.293306977942503</c:v>
                </c:pt>
                <c:pt idx="197">
                  <c:v>-27.228380648962322</c:v>
                </c:pt>
                <c:pt idx="198">
                  <c:v>-27.163734156060933</c:v>
                </c:pt>
                <c:pt idx="199">
                  <c:v>-27.099365901492313</c:v>
                </c:pt>
                <c:pt idx="200">
                  <c:v>-27.035274298963706</c:v>
                </c:pt>
                <c:pt idx="201">
                  <c:v>-26.971457773536635</c:v>
                </c:pt>
                <c:pt idx="202">
                  <c:v>-26.341848606460204</c:v>
                </c:pt>
                <c:pt idx="203">
                  <c:v>-25.738723702470629</c:v>
                </c:pt>
                <c:pt idx="204">
                  <c:v>-25.160622612530133</c:v>
                </c:pt>
                <c:pt idx="205">
                  <c:v>-24.606184908440767</c:v>
                </c:pt>
                <c:pt idx="206">
                  <c:v>-24.074142009337848</c:v>
                </c:pt>
                <c:pt idx="207">
                  <c:v>-23.563309777735306</c:v>
                </c:pt>
                <c:pt idx="208">
                  <c:v>-23.07258180301266</c:v>
                </c:pt>
                <c:pt idx="209">
                  <c:v>-22.600923299968478</c:v>
                </c:pt>
                <c:pt idx="210">
                  <c:v>-22.147365558530534</c:v>
                </c:pt>
                <c:pt idx="211">
                  <c:v>-21.711000888089032</c:v>
                </c:pt>
                <c:pt idx="212">
                  <c:v>-21.290978006357346</c:v>
                </c:pt>
                <c:pt idx="213">
                  <c:v>-20.886497828296211</c:v>
                </c:pt>
                <c:pt idx="214">
                  <c:v>-20.496809615569859</c:v>
                </c:pt>
                <c:pt idx="215">
                  <c:v>-20.121207451332211</c:v>
                </c:pt>
                <c:pt idx="216">
                  <c:v>-19.759027008947029</c:v>
                </c:pt>
                <c:pt idx="217">
                  <c:v>-19.409642586596519</c:v>
                </c:pt>
                <c:pt idx="218">
                  <c:v>-19.072464382688302</c:v>
                </c:pt>
                <c:pt idx="219">
                  <c:v>-18.74693598957985</c:v>
                </c:pt>
                <c:pt idx="220">
                  <c:v>-18.432532085448173</c:v>
                </c:pt>
                <c:pt idx="221">
                  <c:v>-18.128756306176086</c:v>
                </c:pt>
                <c:pt idx="222">
                  <c:v>-17.835139280939575</c:v>
                </c:pt>
                <c:pt idx="223">
                  <c:v>-17.551236816789761</c:v>
                </c:pt>
                <c:pt idx="224">
                  <c:v>-17.276628218953746</c:v>
                </c:pt>
                <c:pt idx="225">
                  <c:v>-17.010914734851418</c:v>
                </c:pt>
                <c:pt idx="226">
                  <c:v>-16.753718110958602</c:v>
                </c:pt>
                <c:pt idx="227">
                  <c:v>-16.504679252657592</c:v>
                </c:pt>
                <c:pt idx="228">
                  <c:v>-16.263456978116871</c:v>
                </c:pt>
                <c:pt idx="229">
                  <c:v>-16.02972685804577</c:v>
                </c:pt>
                <c:pt idx="230">
                  <c:v>-15.803180133887343</c:v>
                </c:pt>
                <c:pt idx="231">
                  <c:v>-15.58352270765273</c:v>
                </c:pt>
                <c:pt idx="232">
                  <c:v>-15.370474197171418</c:v>
                </c:pt>
                <c:pt idx="233">
                  <c:v>-15.16376705104069</c:v>
                </c:pt>
                <c:pt idx="234">
                  <c:v>-14.963145718010312</c:v>
                </c:pt>
                <c:pt idx="235">
                  <c:v>-14.768365865941021</c:v>
                </c:pt>
                <c:pt idx="236">
                  <c:v>-14.57919364583122</c:v>
                </c:pt>
                <c:pt idx="237">
                  <c:v>-14.395404996720682</c:v>
                </c:pt>
                <c:pt idx="238">
                  <c:v>-14.216784987555098</c:v>
                </c:pt>
                <c:pt idx="239">
                  <c:v>-14.043127192335115</c:v>
                </c:pt>
                <c:pt idx="240">
                  <c:v>-13.874233095079353</c:v>
                </c:pt>
                <c:pt idx="241">
                  <c:v>-13.709911521305465</c:v>
                </c:pt>
                <c:pt idx="242">
                  <c:v>-13.549978092877843</c:v>
                </c:pt>
                <c:pt idx="243">
                  <c:v>-13.394254703186178</c:v>
                </c:pt>
                <c:pt idx="244">
                  <c:v>-13.242569009706493</c:v>
                </c:pt>
                <c:pt idx="245">
                  <c:v>-13.094753941056092</c:v>
                </c:pt>
                <c:pt idx="246">
                  <c:v>-12.950647215685603</c:v>
                </c:pt>
                <c:pt idx="247">
                  <c:v>-12.810090869355014</c:v>
                </c:pt>
                <c:pt idx="248">
                  <c:v>-12.672930788515234</c:v>
                </c:pt>
                <c:pt idx="249">
                  <c:v>-12.539016246661124</c:v>
                </c:pt>
                <c:pt idx="250">
                  <c:v>-12.408199440634364</c:v>
                </c:pt>
                <c:pt idx="251">
                  <c:v>-12.280335023733192</c:v>
                </c:pt>
                <c:pt idx="252">
                  <c:v>-12.155279632327693</c:v>
                </c:pt>
                <c:pt idx="253">
                  <c:v>-12.032891402481543</c:v>
                </c:pt>
                <c:pt idx="254">
                  <c:v>-11.913029472839487</c:v>
                </c:pt>
                <c:pt idx="255">
                  <c:v>-11.7955534697504</c:v>
                </c:pt>
                <c:pt idx="256">
                  <c:v>-11.680322970253172</c:v>
                </c:pt>
                <c:pt idx="257">
                  <c:v>-11.567196938151364</c:v>
                </c:pt>
                <c:pt idx="258">
                  <c:v>-11.456033127935683</c:v>
                </c:pt>
                <c:pt idx="259">
                  <c:v>-11.346687450773597</c:v>
                </c:pt>
                <c:pt idx="260">
                  <c:v>-11.239013296164829</c:v>
                </c:pt>
                <c:pt idx="261">
                  <c:v>-11.132860802150597</c:v>
                </c:pt>
                <c:pt idx="262">
                  <c:v>-11.02807606615424</c:v>
                </c:pt>
                <c:pt idx="263">
                  <c:v>-10.924500287610678</c:v>
                </c:pt>
                <c:pt idx="264">
                  <c:v>-10.821968832501978</c:v>
                </c:pt>
                <c:pt idx="265">
                  <c:v>-10.720310208745817</c:v>
                </c:pt>
                <c:pt idx="266">
                  <c:v>-10.61934494007423</c:v>
                </c:pt>
                <c:pt idx="267">
                  <c:v>-10.518884324584358</c:v>
                </c:pt>
                <c:pt idx="268">
                  <c:v>-10.418729062538247</c:v>
                </c:pt>
                <c:pt idx="269">
                  <c:v>-10.318667736237863</c:v>
                </c:pt>
                <c:pt idx="270">
                  <c:v>-10.218475122916511</c:v>
                </c:pt>
                <c:pt idx="271">
                  <c:v>-10.117910319595099</c:v>
                </c:pt>
                <c:pt idx="272">
                  <c:v>-10.016714656797291</c:v>
                </c:pt>
                <c:pt idx="273">
                  <c:v>-9.9146093759769069</c:v>
                </c:pt>
                <c:pt idx="274">
                  <c:v>-9.8112930436000205</c:v>
                </c:pt>
                <c:pt idx="275">
                  <c:v>-9.7064386732163488</c:v>
                </c:pt>
                <c:pt idx="276">
                  <c:v>-9.5996905258015861</c:v>
                </c:pt>
                <c:pt idx="277">
                  <c:v>-9.4906605585142039</c:v>
                </c:pt>
                <c:pt idx="278">
                  <c:v>-9.3789244932927573</c:v>
                </c:pt>
                <c:pt idx="279">
                  <c:v>-9.2640174801240835</c:v>
                </c:pt>
                <c:pt idx="280">
                  <c:v>-9.1454293363002073</c:v>
                </c:pt>
                <c:pt idx="281">
                  <c:v>-9.0225993538512661</c:v>
                </c:pt>
                <c:pt idx="282">
                  <c:v>-8.8949106843295862</c:v>
                </c:pt>
                <c:pt idx="283">
                  <c:v>-8.7616843355098997</c:v>
                </c:pt>
                <c:pt idx="284">
                  <c:v>-8.622172851320606</c:v>
                </c:pt>
                <c:pt idx="285">
                  <c:v>-8.4755537981804796</c:v>
                </c:pt>
                <c:pt idx="286">
                  <c:v>-8.3209232525179466</c:v>
                </c:pt>
                <c:pt idx="287">
                  <c:v>-8.1572895811185777</c:v>
                </c:pt>
                <c:pt idx="288">
                  <c:v>-7.9835679343357775</c:v>
                </c:pt>
                <c:pt idx="289">
                  <c:v>-7.7985760386354128</c:v>
                </c:pt>
                <c:pt idx="290">
                  <c:v>-7.6010320852609379</c:v>
                </c:pt>
                <c:pt idx="291">
                  <c:v>-7.3895557693937599</c:v>
                </c:pt>
                <c:pt idx="292">
                  <c:v>-7.1626738371037861</c:v>
                </c:pt>
                <c:pt idx="293">
                  <c:v>-6.9188318339373458</c:v>
                </c:pt>
                <c:pt idx="294">
                  <c:v>-6.6564140914557504</c:v>
                </c:pt>
                <c:pt idx="295">
                  <c:v>-6.3737742846442904</c:v>
                </c:pt>
                <c:pt idx="296">
                  <c:v>-6.0692790590993946</c:v>
                </c:pt>
                <c:pt idx="297">
                  <c:v>-5.7413671370950965</c:v>
                </c:pt>
                <c:pt idx="298">
                  <c:v>-5.3886257992585049</c:v>
                </c:pt>
                <c:pt idx="299">
                  <c:v>-5.0098855080156737</c:v>
                </c:pt>
                <c:pt idx="300">
                  <c:v>-4.6043315023783755</c:v>
                </c:pt>
                <c:pt idx="301">
                  <c:v>-4.1716283409174455</c:v>
                </c:pt>
                <c:pt idx="302">
                  <c:v>-3.7120496732240964</c:v>
                </c:pt>
                <c:pt idx="303">
                  <c:v>-3.2266013568565999</c:v>
                </c:pt>
                <c:pt idx="304">
                  <c:v>-2.7171221814504443</c:v>
                </c:pt>
                <c:pt idx="305">
                  <c:v>-2.186344072684332</c:v>
                </c:pt>
                <c:pt idx="306">
                  <c:v>-1.6378940625755189</c:v>
                </c:pt>
                <c:pt idx="307">
                  <c:v>-1.0762246119559638</c:v>
                </c:pt>
                <c:pt idx="308">
                  <c:v>-0.50646731381554033</c:v>
                </c:pt>
                <c:pt idx="309">
                  <c:v>6.5783445751180919E-2</c:v>
                </c:pt>
                <c:pt idx="310">
                  <c:v>0.63473802493069309</c:v>
                </c:pt>
                <c:pt idx="311">
                  <c:v>1.1947015904082532</c:v>
                </c:pt>
                <c:pt idx="312">
                  <c:v>1.7403534932428657</c:v>
                </c:pt>
                <c:pt idx="313">
                  <c:v>2.2669848743268175</c:v>
                </c:pt>
                <c:pt idx="314">
                  <c:v>2.7706715751068409</c:v>
                </c:pt>
                <c:pt idx="315">
                  <c:v>3.2483711930971291</c:v>
                </c:pt>
                <c:pt idx="316">
                  <c:v>3.697945302079765</c:v>
                </c:pt>
                <c:pt idx="317">
                  <c:v>4.1181176705992053</c:v>
                </c:pt>
                <c:pt idx="318">
                  <c:v>4.5083851874322773</c:v>
                </c:pt>
                <c:pt idx="319">
                  <c:v>4.8688999526942132</c:v>
                </c:pt>
                <c:pt idx="320">
                  <c:v>5.2003394661416955</c:v>
                </c:pt>
                <c:pt idx="321">
                  <c:v>5.5037783507797817</c:v>
                </c:pt>
                <c:pt idx="322">
                  <c:v>5.7805708582032054</c:v>
                </c:pt>
                <c:pt idx="323">
                  <c:v>6.0322494448639166</c:v>
                </c:pt>
                <c:pt idx="324">
                  <c:v>6.2604415055787044</c:v>
                </c:pt>
                <c:pt idx="325">
                  <c:v>6.4668040731818062</c:v>
                </c:pt>
                <c:pt idx="326">
                  <c:v>6.6529748833056273</c:v>
                </c:pt>
                <c:pt idx="327">
                  <c:v>6.820537489427438</c:v>
                </c:pt>
                <c:pt idx="328">
                  <c:v>6.9709978947898756</c:v>
                </c:pt>
                <c:pt idx="329">
                  <c:v>7.1057702629489494</c:v>
                </c:pt>
                <c:pt idx="330">
                  <c:v>7.2261695354623248</c:v>
                </c:pt>
                <c:pt idx="331">
                  <c:v>7.3334091239661943</c:v>
                </c:pt>
                <c:pt idx="332">
                  <c:v>7.4286021914379532</c:v>
                </c:pt>
                <c:pt idx="333">
                  <c:v>7.5127653582159235</c:v>
                </c:pt>
                <c:pt idx="334">
                  <c:v>7.5868239456908428</c:v>
                </c:pt>
                <c:pt idx="335">
                  <c:v>7.6516180997424375</c:v>
                </c:pt>
                <c:pt idx="336">
                  <c:v>7.7079093189893104</c:v>
                </c:pt>
                <c:pt idx="337">
                  <c:v>7.756387055107548</c:v>
                </c:pt>
                <c:pt idx="338">
                  <c:v>7.7976751604093231</c:v>
                </c:pt>
                <c:pt idx="339">
                  <c:v>7.8323380380950631</c:v>
                </c:pt>
                <c:pt idx="340">
                  <c:v>7.8608864090058148</c:v>
                </c:pt>
                <c:pt idx="341">
                  <c:v>7.8837826503304473</c:v>
                </c:pt>
                <c:pt idx="342">
                  <c:v>7.9014456906728245</c:v>
                </c:pt>
                <c:pt idx="343">
                  <c:v>7.914255465419096</c:v>
                </c:pt>
                <c:pt idx="344">
                  <c:v>7.9225569489987322</c:v>
                </c:pt>
                <c:pt idx="345">
                  <c:v>7.9266637883374216</c:v>
                </c:pt>
                <c:pt idx="346">
                  <c:v>7.9268615660084016</c:v>
                </c:pt>
                <c:pt idx="347">
                  <c:v>7.9234107233775832</c:v>
                </c:pt>
                <c:pt idx="348">
                  <c:v>7.9165491741955982</c:v>
                </c:pt>
                <c:pt idx="349">
                  <c:v>7.906494638186258</c:v>
                </c:pt>
                <c:pt idx="350">
                  <c:v>7.8934467226224694</c:v>
                </c:pt>
                <c:pt idx="351">
                  <c:v>7.8775887779529237</c:v>
                </c:pt>
                <c:pt idx="352">
                  <c:v>7.8590895514427785</c:v>
                </c:pt>
                <c:pt idx="353">
                  <c:v>7.8381046606521352</c:v>
                </c:pt>
                <c:pt idx="354">
                  <c:v>7.8147779064837151</c:v>
                </c:pt>
                <c:pt idx="355">
                  <c:v>7.7892424435401244</c:v>
                </c:pt>
                <c:pt idx="356">
                  <c:v>7.761621823672237</c:v>
                </c:pt>
                <c:pt idx="357">
                  <c:v>7.7320309268890544</c:v>
                </c:pt>
                <c:pt idx="358">
                  <c:v>7.7005767922404988</c:v>
                </c:pt>
                <c:pt idx="359">
                  <c:v>7.6673593598757384</c:v>
                </c:pt>
                <c:pt idx="360">
                  <c:v>7.6324721342140212</c:v>
                </c:pt>
                <c:pt idx="361">
                  <c:v>7.5960027770337621</c:v>
                </c:pt>
                <c:pt idx="362">
                  <c:v>7.558033638277835</c:v>
                </c:pt>
                <c:pt idx="363">
                  <c:v>7.5186422314780099</c:v>
                </c:pt>
                <c:pt idx="364">
                  <c:v>7.4779016599083503</c:v>
                </c:pt>
                <c:pt idx="365">
                  <c:v>7.4358809988754953</c:v>
                </c:pt>
                <c:pt idx="366">
                  <c:v>7.3926456389336579</c:v>
                </c:pt>
                <c:pt idx="367">
                  <c:v>7.3482575942644797</c:v>
                </c:pt>
                <c:pt idx="368">
                  <c:v>7.3027757799785942</c:v>
                </c:pt>
                <c:pt idx="369">
                  <c:v>7.2562562616695701</c:v>
                </c:pt>
                <c:pt idx="370">
                  <c:v>7.2087524801745477</c:v>
                </c:pt>
                <c:pt idx="371">
                  <c:v>7.1603154541642215</c:v>
                </c:pt>
                <c:pt idx="372">
                  <c:v>7.1109939628919969</c:v>
                </c:pt>
                <c:pt idx="373">
                  <c:v>7.0608347111736265</c:v>
                </c:pt>
                <c:pt idx="374">
                  <c:v>7.0098824784403213</c:v>
                </c:pt>
                <c:pt idx="375">
                  <c:v>6.9581802535066721</c:v>
                </c:pt>
                <c:pt idx="376">
                  <c:v>6.9057693565162612</c:v>
                </c:pt>
                <c:pt idx="377">
                  <c:v>6.8526895493700417</c:v>
                </c:pt>
                <c:pt idx="378">
                  <c:v>6.7989791358028118</c:v>
                </c:pt>
                <c:pt idx="379">
                  <c:v>6.7446750521491188</c:v>
                </c:pt>
                <c:pt idx="380">
                  <c:v>6.6898129497302588</c:v>
                </c:pt>
                <c:pt idx="381">
                  <c:v>6.6344272696962658</c:v>
                </c:pt>
                <c:pt idx="382">
                  <c:v>6.5785513110703029</c:v>
                </c:pt>
                <c:pt idx="383">
                  <c:v>6.5222172926656397</c:v>
                </c:pt>
                <c:pt idx="384">
                  <c:v>6.4654564094769054</c:v>
                </c:pt>
                <c:pt idx="385">
                  <c:v>6.4082988840860011</c:v>
                </c:pt>
                <c:pt idx="386">
                  <c:v>6.3507740135686941</c:v>
                </c:pt>
                <c:pt idx="387">
                  <c:v>6.2929102123390415</c:v>
                </c:pt>
                <c:pt idx="388">
                  <c:v>6.2347350513254387</c:v>
                </c:pt>
                <c:pt idx="389">
                  <c:v>6.1762752938330117</c:v>
                </c:pt>
                <c:pt idx="390">
                  <c:v>6.117556928412311</c:v>
                </c:pt>
                <c:pt idx="391">
                  <c:v>6.0586051990229812</c:v>
                </c:pt>
                <c:pt idx="392">
                  <c:v>5.9994446327530628</c:v>
                </c:pt>
                <c:pt idx="393">
                  <c:v>5.9400990653293686</c:v>
                </c:pt>
                <c:pt idx="394">
                  <c:v>5.8805916646318224</c:v>
                </c:pt>
                <c:pt idx="395">
                  <c:v>5.8209449524042229</c:v>
                </c:pt>
                <c:pt idx="396">
                  <c:v>5.7611808243355505</c:v>
                </c:pt>
                <c:pt idx="397">
                  <c:v>5.701320568669491</c:v>
                </c:pt>
                <c:pt idx="398">
                  <c:v>5.6413848834848643</c:v>
                </c:pt>
                <c:pt idx="399">
                  <c:v>5.5813938927761875</c:v>
                </c:pt>
                <c:pt idx="400">
                  <c:v>5.5213671614514501</c:v>
                </c:pt>
                <c:pt idx="401">
                  <c:v>5.4613237093531879</c:v>
                </c:pt>
                <c:pt idx="402">
                  <c:v>5.4012820243989763</c:v>
                </c:pt>
                <c:pt idx="403">
                  <c:v>5.3412600749283614</c:v>
                </c:pt>
                <c:pt idx="404">
                  <c:v>5.2812753213351931</c:v>
                </c:pt>
                <c:pt idx="405">
                  <c:v>5.2213447270568283</c:v>
                </c:pt>
                <c:pt idx="406">
                  <c:v>5.1614847689849048</c:v>
                </c:pt>
                <c:pt idx="407">
                  <c:v>5.1017114473563554</c:v>
                </c:pt>
                <c:pt idx="408">
                  <c:v>5.0420402951776753</c:v>
                </c:pt>
                <c:pt idx="409">
                  <c:v>4.9824863872304856</c:v>
                </c:pt>
                <c:pt idx="410">
                  <c:v>4.9230643487017591</c:v>
                </c:pt>
                <c:pt idx="411">
                  <c:v>4.8637883634779175</c:v>
                </c:pt>
                <c:pt idx="412">
                  <c:v>4.8046721821381988</c:v>
                </c:pt>
                <c:pt idx="413">
                  <c:v>4.7457291296792343</c:v>
                </c:pt>
                <c:pt idx="414">
                  <c:v>4.6869721129995261</c:v>
                </c:pt>
                <c:pt idx="415">
                  <c:v>4.6284136281697741</c:v>
                </c:pt>
                <c:pt idx="416">
                  <c:v>4.5700657675122383</c:v>
                </c:pt>
                <c:pt idx="417">
                  <c:v>4.5119402265099735</c:v>
                </c:pt>
                <c:pt idx="418">
                  <c:v>4.4540483105646071</c:v>
                </c:pt>
                <c:pt idx="419">
                  <c:v>4.3964009416193299</c:v>
                </c:pt>
                <c:pt idx="420">
                  <c:v>4.339008664661967</c:v>
                </c:pt>
                <c:pt idx="421">
                  <c:v>4.2818816541212064</c:v>
                </c:pt>
                <c:pt idx="422">
                  <c:v>4.2250297201678872</c:v>
                </c:pt>
                <c:pt idx="423">
                  <c:v>4.1684623149314133</c:v>
                </c:pt>
                <c:pt idx="424">
                  <c:v>4.1121885386405577</c:v>
                </c:pt>
                <c:pt idx="425">
                  <c:v>4.0562171456964879</c:v>
                </c:pt>
                <c:pt idx="426">
                  <c:v>4.0005565506849354</c:v>
                </c:pt>
                <c:pt idx="427">
                  <c:v>3.9452148343334583</c:v>
                </c:pt>
                <c:pt idx="428">
                  <c:v>3.8901997494189526</c:v>
                </c:pt>
                <c:pt idx="429">
                  <c:v>3.8355187266296724</c:v>
                </c:pt>
                <c:pt idx="430">
                  <c:v>3.7811788803855029</c:v>
                </c:pt>
                <c:pt idx="431">
                  <c:v>3.7271870146194273</c:v>
                </c:pt>
                <c:pt idx="432">
                  <c:v>3.673549628522661</c:v>
                </c:pt>
                <c:pt idx="433">
                  <c:v>3.6202729222553938</c:v>
                </c:pt>
                <c:pt idx="434">
                  <c:v>3.5673628026246211</c:v>
                </c:pt>
                <c:pt idx="435">
                  <c:v>3.5148248887301294</c:v>
                </c:pt>
                <c:pt idx="436">
                  <c:v>3.4626645175793156</c:v>
                </c:pt>
                <c:pt idx="437">
                  <c:v>3.4108867496712643</c:v>
                </c:pt>
                <c:pt idx="438">
                  <c:v>3.3594963745501305</c:v>
                </c:pt>
                <c:pt idx="439">
                  <c:v>3.30849791632766</c:v>
                </c:pt>
                <c:pt idx="440">
                  <c:v>3.2578956391745084</c:v>
                </c:pt>
                <c:pt idx="441">
                  <c:v>3.2076935527796602</c:v>
                </c:pt>
                <c:pt idx="442">
                  <c:v>3.1578954177773273</c:v>
                </c:pt>
                <c:pt idx="443">
                  <c:v>3.1085047511403543</c:v>
                </c:pt>
                <c:pt idx="444">
                  <c:v>3.0595248315390764</c:v>
                </c:pt>
                <c:pt idx="445">
                  <c:v>3.0109587046645823</c:v>
                </c:pt>
                <c:pt idx="446">
                  <c:v>2.9628091885151253</c:v>
                </c:pt>
                <c:pt idx="447">
                  <c:v>2.9150788786444055</c:v>
                </c:pt>
                <c:pt idx="448">
                  <c:v>2.8677701533704152</c:v>
                </c:pt>
                <c:pt idx="449">
                  <c:v>2.820885178943449</c:v>
                </c:pt>
                <c:pt idx="450">
                  <c:v>2.774425914671955</c:v>
                </c:pt>
                <c:pt idx="451">
                  <c:v>2.7283941180046867</c:v>
                </c:pt>
                <c:pt idx="452">
                  <c:v>2.6827913495678954</c:v>
                </c:pt>
                <c:pt idx="453">
                  <c:v>2.6376189781560813</c:v>
                </c:pt>
                <c:pt idx="454">
                  <c:v>2.5928781856748673</c:v>
                </c:pt>
                <c:pt idx="455">
                  <c:v>2.5485699720347395</c:v>
                </c:pt>
                <c:pt idx="456">
                  <c:v>2.5046951599942027</c:v>
                </c:pt>
                <c:pt idx="457">
                  <c:v>2.4612543999510867</c:v>
                </c:pt>
                <c:pt idx="458">
                  <c:v>2.4182481746807474</c:v>
                </c:pt>
                <c:pt idx="459">
                  <c:v>2.3756768040199097</c:v>
                </c:pt>
                <c:pt idx="460">
                  <c:v>2.3335404494949401</c:v>
                </c:pt>
                <c:pt idx="461">
                  <c:v>2.2918391188935274</c:v>
                </c:pt>
                <c:pt idx="462">
                  <c:v>2.2505726707785509</c:v>
                </c:pt>
                <c:pt idx="463">
                  <c:v>2.2097408189432182</c:v>
                </c:pt>
                <c:pt idx="464">
                  <c:v>2.1693431368064662</c:v>
                </c:pt>
                <c:pt idx="465">
                  <c:v>2.1293790617477715</c:v>
                </c:pt>
                <c:pt idx="466">
                  <c:v>2.0898478993804321</c:v>
                </c:pt>
                <c:pt idx="467">
                  <c:v>2.0507488277626313</c:v>
                </c:pt>
                <c:pt idx="468">
                  <c:v>2.0120809015455166</c:v>
                </c:pt>
                <c:pt idx="469">
                  <c:v>1.9738430560576816</c:v>
                </c:pt>
                <c:pt idx="470">
                  <c:v>1.9360341113253892</c:v>
                </c:pt>
                <c:pt idx="471">
                  <c:v>1.8986527760280794</c:v>
                </c:pt>
                <c:pt idx="472">
                  <c:v>1.8616976513886341</c:v>
                </c:pt>
                <c:pt idx="473">
                  <c:v>1.825167234998041</c:v>
                </c:pt>
                <c:pt idx="474">
                  <c:v>1.789059924574083</c:v>
                </c:pt>
                <c:pt idx="475">
                  <c:v>1.7533740216537606</c:v>
                </c:pt>
                <c:pt idx="476">
                  <c:v>1.7181077352192595</c:v>
                </c:pt>
                <c:pt idx="477">
                  <c:v>1.6832591852572474</c:v>
                </c:pt>
                <c:pt idx="478">
                  <c:v>1.648826406251434</c:v>
                </c:pt>
                <c:pt idx="479">
                  <c:v>1.614807350608304</c:v>
                </c:pt>
                <c:pt idx="480">
                  <c:v>1.58119989201602</c:v>
                </c:pt>
                <c:pt idx="481">
                  <c:v>1.5480018287366057</c:v>
                </c:pt>
                <c:pt idx="482">
                  <c:v>1.5152108868314116</c:v>
                </c:pt>
                <c:pt idx="483">
                  <c:v>1.4828247233200855</c:v>
                </c:pt>
                <c:pt idx="484">
                  <c:v>1.4508409292732516</c:v>
                </c:pt>
                <c:pt idx="485">
                  <c:v>1.419257032839063</c:v>
                </c:pt>
                <c:pt idx="486">
                  <c:v>1.3880705022040267</c:v>
                </c:pt>
                <c:pt idx="487">
                  <c:v>1.3572787484883477</c:v>
                </c:pt>
                <c:pt idx="488">
                  <c:v>1.3268791285761701</c:v>
                </c:pt>
                <c:pt idx="489">
                  <c:v>1.2968689478811779</c:v>
                </c:pt>
                <c:pt idx="490">
                  <c:v>1.2672454630479688</c:v>
                </c:pt>
                <c:pt idx="491">
                  <c:v>1.2380058845896418</c:v>
                </c:pt>
                <c:pt idx="492">
                  <c:v>1.2091473794622409</c:v>
                </c:pt>
                <c:pt idx="493">
                  <c:v>1.1806670735764193</c:v>
                </c:pt>
                <c:pt idx="494">
                  <c:v>1.1525620542470651</c:v>
                </c:pt>
                <c:pt idx="495">
                  <c:v>1.1248293725814413</c:v>
                </c:pt>
                <c:pt idx="496">
                  <c:v>1.0974660458064172</c:v>
                </c:pt>
                <c:pt idx="497">
                  <c:v>1.0704690595355508</c:v>
                </c:pt>
                <c:pt idx="498">
                  <c:v>1.043835369976593</c:v>
                </c:pt>
                <c:pt idx="499">
                  <c:v>1.0175619060802497</c:v>
                </c:pt>
                <c:pt idx="500">
                  <c:v>0.99164557163079792</c:v>
                </c:pt>
                <c:pt idx="501">
                  <c:v>0.96608324727935724</c:v>
                </c:pt>
                <c:pt idx="502">
                  <c:v>0.94087179252063535</c:v>
                </c:pt>
                <c:pt idx="503">
                  <c:v>0.91600804761379173</c:v>
                </c:pt>
                <c:pt idx="504">
                  <c:v>0.89148883544830859</c:v>
                </c:pt>
                <c:pt idx="505">
                  <c:v>0.86731096335569013</c:v>
                </c:pt>
                <c:pt idx="506">
                  <c:v>0.84347122486771831</c:v>
                </c:pt>
                <c:pt idx="507">
                  <c:v>0.81996640142215504</c:v>
                </c:pt>
                <c:pt idx="508">
                  <c:v>0.79679326401672235</c:v>
                </c:pt>
                <c:pt idx="509">
                  <c:v>0.77394857481220569</c:v>
                </c:pt>
                <c:pt idx="510">
                  <c:v>0.75142908868547309</c:v>
                </c:pt>
                <c:pt idx="511">
                  <c:v>0.72923155473340628</c:v>
                </c:pt>
                <c:pt idx="512">
                  <c:v>0.70735271772839603</c:v>
                </c:pt>
                <c:pt idx="513">
                  <c:v>0.68578931952653122</c:v>
                </c:pt>
                <c:pt idx="514">
                  <c:v>0.66453810042908046</c:v>
                </c:pt>
                <c:pt idx="515">
                  <c:v>0.64359580049835685</c:v>
                </c:pt>
                <c:pt idx="516">
                  <c:v>0.62295916082867109</c:v>
                </c:pt>
                <c:pt idx="517">
                  <c:v>0.60262492477339791</c:v>
                </c:pt>
                <c:pt idx="518">
                  <c:v>0.58258983912888418</c:v>
                </c:pt>
                <c:pt idx="519">
                  <c:v>0.56285065527614719</c:v>
                </c:pt>
                <c:pt idx="520">
                  <c:v>0.54340413028123358</c:v>
                </c:pt>
                <c:pt idx="521">
                  <c:v>0.52424702795506484</c:v>
                </c:pt>
                <c:pt idx="522">
                  <c:v>0.50537611987364528</c:v>
                </c:pt>
                <c:pt idx="523">
                  <c:v>0.48678818635950982</c:v>
                </c:pt>
                <c:pt idx="524">
                  <c:v>0.46848001742521106</c:v>
                </c:pt>
                <c:pt idx="525">
                  <c:v>0.45044841367973021</c:v>
                </c:pt>
                <c:pt idx="526">
                  <c:v>0.43269018719868946</c:v>
                </c:pt>
                <c:pt idx="527">
                  <c:v>0.41520216235903362</c:v>
                </c:pt>
                <c:pt idx="528">
                  <c:v>0.39798117663928956</c:v>
                </c:pt>
                <c:pt idx="529">
                  <c:v>0.38102408138586163</c:v>
                </c:pt>
                <c:pt idx="530">
                  <c:v>0.36432774254650369</c:v>
                </c:pt>
                <c:pt idx="531">
                  <c:v>0.34788904137159449</c:v>
                </c:pt>
                <c:pt idx="532">
                  <c:v>0.33170487508400548</c:v>
                </c:pt>
                <c:pt idx="533">
                  <c:v>0.31577215751838494</c:v>
                </c:pt>
                <c:pt idx="534">
                  <c:v>0.30008781973068466</c:v>
                </c:pt>
                <c:pt idx="535">
                  <c:v>0.28464881057854008</c:v>
                </c:pt>
                <c:pt idx="536">
                  <c:v>0.26945209727343844</c:v>
                </c:pt>
                <c:pt idx="537">
                  <c:v>0.25449466590527337</c:v>
                </c:pt>
                <c:pt idx="538">
                  <c:v>0.23977352194010138</c:v>
                </c:pt>
                <c:pt idx="539">
                  <c:v>0.22528569069178772</c:v>
                </c:pt>
                <c:pt idx="540">
                  <c:v>0.21102821776826275</c:v>
                </c:pt>
                <c:pt idx="541">
                  <c:v>0.19699816949310289</c:v>
                </c:pt>
                <c:pt idx="542">
                  <c:v>0.18319263330307578</c:v>
                </c:pt>
                <c:pt idx="543">
                  <c:v>0.16960871812243816</c:v>
                </c:pt>
                <c:pt idx="544">
                  <c:v>0.15624355471444673</c:v>
                </c:pt>
                <c:pt idx="545">
                  <c:v>0.1430942960110464</c:v>
                </c:pt>
                <c:pt idx="546">
                  <c:v>0.13015811742101135</c:v>
                </c:pt>
                <c:pt idx="547">
                  <c:v>0.1174322171175568</c:v>
                </c:pt>
                <c:pt idx="548">
                  <c:v>0.10491381630566821</c:v>
                </c:pt>
                <c:pt idx="549">
                  <c:v>9.2600159470059396E-2</c:v>
                </c:pt>
                <c:pt idx="550">
                  <c:v>8.0488514604221351E-2</c:v>
                </c:pt>
                <c:pt idx="551">
                  <c:v>6.8576173421082132E-2</c:v>
                </c:pt>
                <c:pt idx="552">
                  <c:v>5.6860451546043578E-2</c:v>
                </c:pt>
                <c:pt idx="553">
                  <c:v>4.5338688692771356E-2</c:v>
                </c:pt>
                <c:pt idx="554">
                  <c:v>3.4008248822400944E-2</c:v>
                </c:pt>
                <c:pt idx="555">
                  <c:v>2.2866520286658698E-2</c:v>
                </c:pt>
                <c:pt idx="556">
                  <c:v>1.1910915955418488E-2</c:v>
                </c:pt>
                <c:pt idx="557">
                  <c:v>1.1388733292818642E-3</c:v>
                </c:pt>
                <c:pt idx="558">
                  <c:v>-9.4521453624505369E-3</c:v>
                </c:pt>
                <c:pt idx="559">
                  <c:v>-1.9864653077753758E-2</c:v>
                </c:pt>
                <c:pt idx="560">
                  <c:v>-3.0101137891431762E-2</c:v>
                </c:pt>
                <c:pt idx="561">
                  <c:v>-4.0164062937762424E-2</c:v>
                </c:pt>
                <c:pt idx="562">
                  <c:v>-5.0055866365704915E-2</c:v>
                </c:pt>
                <c:pt idx="563">
                  <c:v>-5.9778961306294676E-2</c:v>
                </c:pt>
                <c:pt idx="564">
                  <c:v>-6.9335735851719704E-2</c:v>
                </c:pt>
                <c:pt idx="565">
                  <c:v>-7.8728553045747773E-2</c:v>
                </c:pt>
                <c:pt idx="566">
                  <c:v>-8.7959750884911259E-2</c:v>
                </c:pt>
                <c:pt idx="567">
                  <c:v>-9.7031642330243528E-2</c:v>
                </c:pt>
                <c:pt idx="568">
                  <c:v>-0.10594651532900379</c:v>
                </c:pt>
                <c:pt idx="569">
                  <c:v>-0.11470663284608662</c:v>
                </c:pt>
                <c:pt idx="570">
                  <c:v>-0.12331423290474142</c:v>
                </c:pt>
                <c:pt idx="571">
                  <c:v>-0.13177152863610075</c:v>
                </c:pt>
                <c:pt idx="572">
                  <c:v>-0.14008070833740938</c:v>
                </c:pt>
                <c:pt idx="573">
                  <c:v>-0.14824393553833204</c:v>
                </c:pt>
                <c:pt idx="574">
                  <c:v>-0.15626334907514305</c:v>
                </c:pt>
                <c:pt idx="575">
                  <c:v>-0.164141063172492</c:v>
                </c:pt>
                <c:pt idx="576">
                  <c:v>-0.17187916753226951</c:v>
                </c:pt>
                <c:pt idx="577">
                  <c:v>-0.17947972742948437</c:v>
                </c:pt>
                <c:pt idx="578">
                  <c:v>-0.18694478381456214</c:v>
                </c:pt>
                <c:pt idx="579">
                  <c:v>-0.19427635342206351</c:v>
                </c:pt>
                <c:pt idx="580">
                  <c:v>-0.20147642888531081</c:v>
                </c:pt>
                <c:pt idx="581">
                  <c:v>-0.20854697885672557</c:v>
                </c:pt>
                <c:pt idx="582">
                  <c:v>-0.21548994813361588</c:v>
                </c:pt>
                <c:pt idx="583">
                  <c:v>-0.22230725778913474</c:v>
                </c:pt>
                <c:pt idx="584">
                  <c:v>-0.22900080530811273</c:v>
                </c:pt>
                <c:pt idx="585">
                  <c:v>-0.23557246472758742</c:v>
                </c:pt>
                <c:pt idx="586">
                  <c:v>-0.24202408678171849</c:v>
                </c:pt>
                <c:pt idx="587">
                  <c:v>-0.2483574990509112</c:v>
                </c:pt>
                <c:pt idx="588">
                  <c:v>-0.25457450611481569</c:v>
                </c:pt>
                <c:pt idx="589">
                  <c:v>-0.26067688970917402</c:v>
                </c:pt>
                <c:pt idx="590">
                  <c:v>-0.26666640888606885</c:v>
                </c:pt>
                <c:pt idx="591">
                  <c:v>-0.2725448001775419</c:v>
                </c:pt>
                <c:pt idx="592">
                  <c:v>-0.27831377776228727</c:v>
                </c:pt>
                <c:pt idx="593">
                  <c:v>-0.28397503363525978</c:v>
                </c:pt>
                <c:pt idx="594">
                  <c:v>-0.28953023778000286</c:v>
                </c:pt>
                <c:pt idx="595">
                  <c:v>-0.29498103834351141</c:v>
                </c:pt>
                <c:pt idx="596">
                  <c:v>-0.30032906181347307</c:v>
                </c:pt>
                <c:pt idx="597">
                  <c:v>-0.30557591319764654</c:v>
                </c:pt>
                <c:pt idx="598">
                  <c:v>-0.31072317620530221</c:v>
                </c:pt>
                <c:pt idx="599">
                  <c:v>-0.31577241343055817</c:v>
                </c:pt>
                <c:pt idx="600">
                  <c:v>-0.32072516653731675</c:v>
                </c:pt>
                <c:pt idx="601">
                  <c:v>-0.32558295644589563</c:v>
                </c:pt>
                <c:pt idx="602">
                  <c:v>-0.33034728352095399</c:v>
                </c:pt>
                <c:pt idx="603">
                  <c:v>-0.33501962776077221</c:v>
                </c:pt>
                <c:pt idx="604">
                  <c:v>-0.33960144898764</c:v>
                </c:pt>
                <c:pt idx="605">
                  <c:v>-0.34409418703927663</c:v>
                </c:pt>
                <c:pt idx="606">
                  <c:v>-0.34849926196111092</c:v>
                </c:pt>
                <c:pt idx="607">
                  <c:v>-0.35281807419937472</c:v>
                </c:pt>
                <c:pt idx="608">
                  <c:v>-0.35705200479478805</c:v>
                </c:pt>
                <c:pt idx="609">
                  <c:v>-0.36120241557684096</c:v>
                </c:pt>
                <c:pt idx="610">
                  <c:v>-0.3652706493584823</c:v>
                </c:pt>
                <c:pt idx="611">
                  <c:v>-0.36925803013114233</c:v>
                </c:pt>
                <c:pt idx="612">
                  <c:v>-0.37316586326000412</c:v>
                </c:pt>
                <c:pt idx="613">
                  <c:v>-0.37699543567935301</c:v>
                </c:pt>
                <c:pt idx="614">
                  <c:v>-0.38074801608808073</c:v>
                </c:pt>
                <c:pt idx="615">
                  <c:v>-0.38442485514501534</c:v>
                </c:pt>
                <c:pt idx="616">
                  <c:v>-0.3880271856642441</c:v>
                </c:pt>
                <c:pt idx="617">
                  <c:v>-0.39155622281013969</c:v>
                </c:pt>
                <c:pt idx="618">
                  <c:v>-0.39501316429215017</c:v>
                </c:pt>
                <c:pt idx="619">
                  <c:v>-0.39839919055921058</c:v>
                </c:pt>
                <c:pt idx="620">
                  <c:v>-0.40171546499371402</c:v>
                </c:pt>
                <c:pt idx="621">
                  <c:v>-0.40496313410502793</c:v>
                </c:pt>
                <c:pt idx="622">
                  <c:v>-0.40814332772240469</c:v>
                </c:pt>
                <c:pt idx="623">
                  <c:v>-0.41125715918725092</c:v>
                </c:pt>
                <c:pt idx="624">
                  <c:v>-0.41430572554478395</c:v>
                </c:pt>
                <c:pt idx="625">
                  <c:v>-0.4172901077348552</c:v>
                </c:pt>
                <c:pt idx="626">
                  <c:v>-0.42021137078206827</c:v>
                </c:pt>
                <c:pt idx="627">
                  <c:v>-0.42307056398496634</c:v>
                </c:pt>
                <c:pt idx="628">
                  <c:v>-0.42586872110437213</c:v>
                </c:pt>
                <c:pt idx="629">
                  <c:v>-0.42860686055078467</c:v>
                </c:pt>
                <c:pt idx="630">
                  <c:v>-0.43128598557077424</c:v>
                </c:pt>
                <c:pt idx="631">
                  <c:v>-0.43390708443234161</c:v>
                </c:pt>
                <c:pt idx="632">
                  <c:v>-0.43647113060923282</c:v>
                </c:pt>
                <c:pt idx="633">
                  <c:v>-0.43897908296410648</c:v>
                </c:pt>
                <c:pt idx="634">
                  <c:v>-0.44143188593063876</c:v>
                </c:pt>
                <c:pt idx="635">
                  <c:v>-0.4438304696943316</c:v>
                </c:pt>
                <c:pt idx="636">
                  <c:v>-0.44617575037223212</c:v>
                </c:pt>
                <c:pt idx="637">
                  <c:v>-0.44846863019134098</c:v>
                </c:pt>
                <c:pt idx="638">
                  <c:v>-0.45070999766577735</c:v>
                </c:pt>
                <c:pt idx="639">
                  <c:v>-0.4529007277726631</c:v>
                </c:pt>
                <c:pt idx="640">
                  <c:v>-0.45504168212665341</c:v>
                </c:pt>
                <c:pt idx="641">
                  <c:v>-0.45713370915319551</c:v>
                </c:pt>
                <c:pt idx="642">
                  <c:v>-0.45917764426032193</c:v>
                </c:pt>
                <c:pt idx="643">
                  <c:v>-0.46117431000918963</c:v>
                </c:pt>
                <c:pt idx="644">
                  <c:v>-0.46312451628310924</c:v>
                </c:pt>
                <c:pt idx="645">
                  <c:v>-0.46502906045521364</c:v>
                </c:pt>
                <c:pt idx="646">
                  <c:v>-0.46688872755466093</c:v>
                </c:pt>
                <c:pt idx="647">
                  <c:v>-0.46870429043146089</c:v>
                </c:pt>
                <c:pt idx="648">
                  <c:v>-0.47047650991972745</c:v>
                </c:pt>
                <c:pt idx="649">
                  <c:v>-0.47220613499956876</c:v>
                </c:pt>
                <c:pt idx="650">
                  <c:v>-0.47389390295741585</c:v>
                </c:pt>
                <c:pt idx="651">
                  <c:v>-0.47554053954489817</c:v>
                </c:pt>
                <c:pt idx="652">
                  <c:v>-0.47714675913621107</c:v>
                </c:pt>
                <c:pt idx="653">
                  <c:v>-0.47871326488395027</c:v>
                </c:pt>
                <c:pt idx="654">
                  <c:v>-0.48024074887345947</c:v>
                </c:pt>
                <c:pt idx="655">
                  <c:v>-0.48024224222654155</c:v>
                </c:pt>
                <c:pt idx="656">
                  <c:v>-0.48024373554191691</c:v>
                </c:pt>
                <c:pt idx="657">
                  <c:v>-0.48024522881958909</c:v>
                </c:pt>
                <c:pt idx="658">
                  <c:v>-0.48024672205956342</c:v>
                </c:pt>
                <c:pt idx="659">
                  <c:v>-0.48024821526184169</c:v>
                </c:pt>
                <c:pt idx="660">
                  <c:v>-0.48024970842641856</c:v>
                </c:pt>
                <c:pt idx="661">
                  <c:v>-0.48025120155329049</c:v>
                </c:pt>
                <c:pt idx="662">
                  <c:v>-0.48025269464246989</c:v>
                </c:pt>
                <c:pt idx="663">
                  <c:v>-0.48025418769395145</c:v>
                </c:pt>
                <c:pt idx="664">
                  <c:v>-0.48025568070773161</c:v>
                </c:pt>
                <c:pt idx="665">
                  <c:v>-0.48025717368382281</c:v>
                </c:pt>
                <c:pt idx="666">
                  <c:v>-0.48025866662221794</c:v>
                </c:pt>
                <c:pt idx="667">
                  <c:v>-0.48026015952292056</c:v>
                </c:pt>
                <c:pt idx="668">
                  <c:v>-0.48026165238591823</c:v>
                </c:pt>
                <c:pt idx="669">
                  <c:v>-0.4802631452112287</c:v>
                </c:pt>
                <c:pt idx="670">
                  <c:v>-0.48026463799884667</c:v>
                </c:pt>
                <c:pt idx="671">
                  <c:v>-0.48026613074877211</c:v>
                </c:pt>
                <c:pt idx="672">
                  <c:v>-0.48026762346100327</c:v>
                </c:pt>
                <c:pt idx="673">
                  <c:v>-0.48026911613554546</c:v>
                </c:pt>
                <c:pt idx="674">
                  <c:v>-0.48027060877239869</c:v>
                </c:pt>
                <c:pt idx="675">
                  <c:v>-0.48027210137156118</c:v>
                </c:pt>
                <c:pt idx="676">
                  <c:v>-0.48027359393304714</c:v>
                </c:pt>
                <c:pt idx="677">
                  <c:v>-0.48027508645682992</c:v>
                </c:pt>
                <c:pt idx="678">
                  <c:v>-0.48027657894292908</c:v>
                </c:pt>
                <c:pt idx="679">
                  <c:v>-0.48027807139134282</c:v>
                </c:pt>
                <c:pt idx="680">
                  <c:v>-0.48027956380207293</c:v>
                </c:pt>
                <c:pt idx="681">
                  <c:v>-0.48028105617511052</c:v>
                </c:pt>
                <c:pt idx="682">
                  <c:v>-0.4802825485104627</c:v>
                </c:pt>
                <c:pt idx="683">
                  <c:v>-0.48028404080813836</c:v>
                </c:pt>
                <c:pt idx="684">
                  <c:v>-0.4802855330681286</c:v>
                </c:pt>
                <c:pt idx="685">
                  <c:v>-0.48028702529043343</c:v>
                </c:pt>
                <c:pt idx="686">
                  <c:v>-0.48028851747505996</c:v>
                </c:pt>
                <c:pt idx="687">
                  <c:v>-0.48029000962199753</c:v>
                </c:pt>
                <c:pt idx="688">
                  <c:v>-0.48029150173126212</c:v>
                </c:pt>
                <c:pt idx="689">
                  <c:v>-0.48029299380284307</c:v>
                </c:pt>
                <c:pt idx="690">
                  <c:v>-0.48029448583674395</c:v>
                </c:pt>
                <c:pt idx="691">
                  <c:v>-0.48029597783297184</c:v>
                </c:pt>
                <c:pt idx="692">
                  <c:v>-0.48029746979151078</c:v>
                </c:pt>
                <c:pt idx="693">
                  <c:v>-0.48029896171237851</c:v>
                </c:pt>
                <c:pt idx="694">
                  <c:v>-0.48030045359556617</c:v>
                </c:pt>
                <c:pt idx="695">
                  <c:v>-0.48030194544108262</c:v>
                </c:pt>
                <c:pt idx="696">
                  <c:v>-0.48030343724892077</c:v>
                </c:pt>
                <c:pt idx="697">
                  <c:v>-0.48030492901908417</c:v>
                </c:pt>
                <c:pt idx="698">
                  <c:v>-0.48030642075157459</c:v>
                </c:pt>
                <c:pt idx="699">
                  <c:v>-0.48030791244638671</c:v>
                </c:pt>
                <c:pt idx="700">
                  <c:v>-0.48030940410353296</c:v>
                </c:pt>
                <c:pt idx="701">
                  <c:v>-0.48031089572300623</c:v>
                </c:pt>
                <c:pt idx="702">
                  <c:v>-0.48031238730479764</c:v>
                </c:pt>
                <c:pt idx="703">
                  <c:v>-0.48031387884892673</c:v>
                </c:pt>
                <c:pt idx="704">
                  <c:v>-0.48031537035538463</c:v>
                </c:pt>
                <c:pt idx="705">
                  <c:v>-0.4803168618241731</c:v>
                </c:pt>
                <c:pt idx="706">
                  <c:v>-0.48031835325529926</c:v>
                </c:pt>
                <c:pt idx="707">
                  <c:v>-0.48031984464874355</c:v>
                </c:pt>
                <c:pt idx="708">
                  <c:v>-0.48032133600452376</c:v>
                </c:pt>
                <c:pt idx="709">
                  <c:v>-0.48032282732263987</c:v>
                </c:pt>
                <c:pt idx="710">
                  <c:v>-0.48032431860308655</c:v>
                </c:pt>
                <c:pt idx="711">
                  <c:v>-0.48032580984587092</c:v>
                </c:pt>
                <c:pt idx="712">
                  <c:v>-0.4803273010509912</c:v>
                </c:pt>
                <c:pt idx="713">
                  <c:v>-0.48032879221844205</c:v>
                </c:pt>
                <c:pt idx="714">
                  <c:v>-0.48033028334823769</c:v>
                </c:pt>
                <c:pt idx="715">
                  <c:v>-0.48033177444035857</c:v>
                </c:pt>
                <c:pt idx="716">
                  <c:v>-0.48033326549482425</c:v>
                </c:pt>
                <c:pt idx="717">
                  <c:v>-0.48033475651163293</c:v>
                </c:pt>
                <c:pt idx="718">
                  <c:v>-0.48033624749077219</c:v>
                </c:pt>
                <c:pt idx="719">
                  <c:v>-0.48033773843225624</c:v>
                </c:pt>
                <c:pt idx="720">
                  <c:v>-0.4803392293360762</c:v>
                </c:pt>
                <c:pt idx="721">
                  <c:v>-0.48034072020223917</c:v>
                </c:pt>
                <c:pt idx="722">
                  <c:v>-0.48034221103073982</c:v>
                </c:pt>
                <c:pt idx="723">
                  <c:v>-0.48034370182158703</c:v>
                </c:pt>
                <c:pt idx="724">
                  <c:v>-0.48034519257477193</c:v>
                </c:pt>
                <c:pt idx="725">
                  <c:v>-0.48034668329030517</c:v>
                </c:pt>
                <c:pt idx="726">
                  <c:v>-0.48034817396818497</c:v>
                </c:pt>
                <c:pt idx="727">
                  <c:v>-0.48034966460840423</c:v>
                </c:pt>
                <c:pt idx="728">
                  <c:v>-0.48035115521097183</c:v>
                </c:pt>
                <c:pt idx="729">
                  <c:v>-0.48035264577588777</c:v>
                </c:pt>
                <c:pt idx="730">
                  <c:v>-0.48035413630314494</c:v>
                </c:pt>
                <c:pt idx="731">
                  <c:v>-0.48035562679275756</c:v>
                </c:pt>
                <c:pt idx="732">
                  <c:v>-0.48035711724471142</c:v>
                </c:pt>
                <c:pt idx="733">
                  <c:v>-0.48035860765901361</c:v>
                </c:pt>
                <c:pt idx="734">
                  <c:v>-0.48036009803566593</c:v>
                </c:pt>
                <c:pt idx="735">
                  <c:v>-0.48036158837466836</c:v>
                </c:pt>
                <c:pt idx="736">
                  <c:v>-0.48036307867601735</c:v>
                </c:pt>
                <c:pt idx="737">
                  <c:v>-0.4803645689397289</c:v>
                </c:pt>
                <c:pt idx="738">
                  <c:v>-0.48036605916578168</c:v>
                </c:pt>
                <c:pt idx="739">
                  <c:v>-0.48036754935419701</c:v>
                </c:pt>
                <c:pt idx="740">
                  <c:v>-0.48036903950496068</c:v>
                </c:pt>
                <c:pt idx="741">
                  <c:v>-0.48037052961807802</c:v>
                </c:pt>
                <c:pt idx="742">
                  <c:v>-0.48037201969355259</c:v>
                </c:pt>
                <c:pt idx="743">
                  <c:v>-0.48037350973137904</c:v>
                </c:pt>
                <c:pt idx="744">
                  <c:v>-0.48037499973156272</c:v>
                </c:pt>
                <c:pt idx="745">
                  <c:v>-0.48037648969410007</c:v>
                </c:pt>
                <c:pt idx="746">
                  <c:v>-0.4803779796189982</c:v>
                </c:pt>
                <c:pt idx="747">
                  <c:v>-0.48037946950624821</c:v>
                </c:pt>
                <c:pt idx="748">
                  <c:v>-0.48038095935586611</c:v>
                </c:pt>
                <c:pt idx="749">
                  <c:v>-0.4803824491678359</c:v>
                </c:pt>
                <c:pt idx="750">
                  <c:v>-0.4803839389421718</c:v>
                </c:pt>
                <c:pt idx="751">
                  <c:v>-0.48038542867886846</c:v>
                </c:pt>
                <c:pt idx="752">
                  <c:v>-0.48038691837792058</c:v>
                </c:pt>
                <c:pt idx="753">
                  <c:v>-0.48038840803933702</c:v>
                </c:pt>
                <c:pt idx="754">
                  <c:v>-0.48038989766311602</c:v>
                </c:pt>
                <c:pt idx="755">
                  <c:v>-0.48039138724925934</c:v>
                </c:pt>
                <c:pt idx="756">
                  <c:v>-0.48039287679776876</c:v>
                </c:pt>
                <c:pt idx="757">
                  <c:v>-0.48039436630863896</c:v>
                </c:pt>
                <c:pt idx="758">
                  <c:v>-0.48039585578187349</c:v>
                </c:pt>
                <c:pt idx="759">
                  <c:v>-0.48039734521747413</c:v>
                </c:pt>
                <c:pt idx="760">
                  <c:v>-0.48039883461544441</c:v>
                </c:pt>
                <c:pt idx="761">
                  <c:v>-0.48040032397577903</c:v>
                </c:pt>
                <c:pt idx="762">
                  <c:v>-0.48040181329848153</c:v>
                </c:pt>
                <c:pt idx="763">
                  <c:v>-0.48040330258355723</c:v>
                </c:pt>
                <c:pt idx="764">
                  <c:v>-0.48040479183100082</c:v>
                </c:pt>
                <c:pt idx="765">
                  <c:v>-0.48040628104080874</c:v>
                </c:pt>
                <c:pt idx="766">
                  <c:v>-0.48040777021298808</c:v>
                </c:pt>
                <c:pt idx="767">
                  <c:v>-0.48040925934754242</c:v>
                </c:pt>
                <c:pt idx="768">
                  <c:v>-0.48041074844446463</c:v>
                </c:pt>
                <c:pt idx="769">
                  <c:v>-0.48041223750376183</c:v>
                </c:pt>
                <c:pt idx="770">
                  <c:v>-0.48041372652543402</c:v>
                </c:pt>
                <c:pt idx="771">
                  <c:v>-0.48041521550947053</c:v>
                </c:pt>
                <c:pt idx="772">
                  <c:v>-0.48041670445589446</c:v>
                </c:pt>
                <c:pt idx="773">
                  <c:v>-0.4804181933646845</c:v>
                </c:pt>
                <c:pt idx="774">
                  <c:v>-0.48041968223585307</c:v>
                </c:pt>
                <c:pt idx="775">
                  <c:v>-0.48042117106940019</c:v>
                </c:pt>
                <c:pt idx="776">
                  <c:v>-0.48042265986532406</c:v>
                </c:pt>
                <c:pt idx="777">
                  <c:v>-0.4804241486236176</c:v>
                </c:pt>
                <c:pt idx="778">
                  <c:v>-0.48042563734430033</c:v>
                </c:pt>
                <c:pt idx="779">
                  <c:v>-0.48042712602735982</c:v>
                </c:pt>
                <c:pt idx="780">
                  <c:v>-0.4804286146727943</c:v>
                </c:pt>
                <c:pt idx="781">
                  <c:v>-0.48043010328060909</c:v>
                </c:pt>
                <c:pt idx="782">
                  <c:v>-0.4804315918508113</c:v>
                </c:pt>
                <c:pt idx="783">
                  <c:v>-0.4804330803833885</c:v>
                </c:pt>
                <c:pt idx="784">
                  <c:v>-0.48043456887834601</c:v>
                </c:pt>
                <c:pt idx="785">
                  <c:v>-0.48043605733569272</c:v>
                </c:pt>
                <c:pt idx="786">
                  <c:v>-0.4804375457554233</c:v>
                </c:pt>
                <c:pt idx="787">
                  <c:v>-0.48043903413753064</c:v>
                </c:pt>
                <c:pt idx="788">
                  <c:v>-0.48044052248203073</c:v>
                </c:pt>
                <c:pt idx="789">
                  <c:v>-0.48044201078891291</c:v>
                </c:pt>
                <c:pt idx="790">
                  <c:v>-0.48044349905817896</c:v>
                </c:pt>
                <c:pt idx="791">
                  <c:v>-0.4804449872898342</c:v>
                </c:pt>
                <c:pt idx="792">
                  <c:v>-0.48044647548387864</c:v>
                </c:pt>
                <c:pt idx="793">
                  <c:v>-0.48044796364031228</c:v>
                </c:pt>
                <c:pt idx="794">
                  <c:v>-0.48044945175913512</c:v>
                </c:pt>
                <c:pt idx="795">
                  <c:v>-0.48045093984034004</c:v>
                </c:pt>
                <c:pt idx="796">
                  <c:v>-0.48045242788394482</c:v>
                </c:pt>
                <c:pt idx="797">
                  <c:v>-0.48045391588993347</c:v>
                </c:pt>
                <c:pt idx="798">
                  <c:v>-0.48045540385831487</c:v>
                </c:pt>
                <c:pt idx="799">
                  <c:v>-0.48045689178908901</c:v>
                </c:pt>
                <c:pt idx="800">
                  <c:v>-0.48045837968226124</c:v>
                </c:pt>
                <c:pt idx="801">
                  <c:v>-0.48045986753781733</c:v>
                </c:pt>
                <c:pt idx="802">
                  <c:v>-0.48046135535576973</c:v>
                </c:pt>
                <c:pt idx="803">
                  <c:v>-0.48046284313612375</c:v>
                </c:pt>
                <c:pt idx="804">
                  <c:v>-0.4804643308788652</c:v>
                </c:pt>
                <c:pt idx="805">
                  <c:v>-0.4804658185840065</c:v>
                </c:pt>
                <c:pt idx="806">
                  <c:v>-0.48046730625154588</c:v>
                </c:pt>
                <c:pt idx="807">
                  <c:v>-0.48046879388147801</c:v>
                </c:pt>
                <c:pt idx="808">
                  <c:v>-0.48047028147381177</c:v>
                </c:pt>
                <c:pt idx="809">
                  <c:v>-0.48047176902854538</c:v>
                </c:pt>
                <c:pt idx="810">
                  <c:v>-0.48047325654568063</c:v>
                </c:pt>
                <c:pt idx="811">
                  <c:v>-0.48047474402520685</c:v>
                </c:pt>
                <c:pt idx="812">
                  <c:v>-0.48047623146714002</c:v>
                </c:pt>
                <c:pt idx="813">
                  <c:v>-0.48047771887147306</c:v>
                </c:pt>
                <c:pt idx="814">
                  <c:v>-0.48047920623820239</c:v>
                </c:pt>
                <c:pt idx="815">
                  <c:v>-0.48048069356734224</c:v>
                </c:pt>
                <c:pt idx="816">
                  <c:v>-0.48048218085888195</c:v>
                </c:pt>
                <c:pt idx="817">
                  <c:v>-0.48048366811282861</c:v>
                </c:pt>
                <c:pt idx="818">
                  <c:v>-0.48048515532918223</c:v>
                </c:pt>
                <c:pt idx="819">
                  <c:v>-0.48048664250793394</c:v>
                </c:pt>
                <c:pt idx="820">
                  <c:v>-0.48048812964909793</c:v>
                </c:pt>
                <c:pt idx="821">
                  <c:v>-0.48048961675266</c:v>
                </c:pt>
                <c:pt idx="822">
                  <c:v>-0.48049110381863436</c:v>
                </c:pt>
                <c:pt idx="823">
                  <c:v>-0.48049259084701745</c:v>
                </c:pt>
                <c:pt idx="824">
                  <c:v>-0.48049407783781284</c:v>
                </c:pt>
                <c:pt idx="825">
                  <c:v>-0.48049556479100808</c:v>
                </c:pt>
                <c:pt idx="826">
                  <c:v>-0.48049705170661916</c:v>
                </c:pt>
                <c:pt idx="827">
                  <c:v>-0.48049853858464253</c:v>
                </c:pt>
                <c:pt idx="828">
                  <c:v>-0.48050002542506931</c:v>
                </c:pt>
                <c:pt idx="829">
                  <c:v>-0.48050151222791193</c:v>
                </c:pt>
                <c:pt idx="830">
                  <c:v>-0.48050299899316684</c:v>
                </c:pt>
                <c:pt idx="831">
                  <c:v>-0.48050448572083759</c:v>
                </c:pt>
                <c:pt idx="832">
                  <c:v>-0.48050597241092241</c:v>
                </c:pt>
                <c:pt idx="833">
                  <c:v>-0.48050745906341774</c:v>
                </c:pt>
                <c:pt idx="834">
                  <c:v>-0.48050894567833602</c:v>
                </c:pt>
                <c:pt idx="835">
                  <c:v>-0.48051043225566303</c:v>
                </c:pt>
                <c:pt idx="836">
                  <c:v>-0.48051191879540767</c:v>
                </c:pt>
                <c:pt idx="837">
                  <c:v>-0.48051340529756814</c:v>
                </c:pt>
                <c:pt idx="838">
                  <c:v>-0.48051489176215334</c:v>
                </c:pt>
                <c:pt idx="839">
                  <c:v>-0.4805163781891455</c:v>
                </c:pt>
                <c:pt idx="840">
                  <c:v>-0.48051786457856593</c:v>
                </c:pt>
                <c:pt idx="841">
                  <c:v>-0.48051935093039866</c:v>
                </c:pt>
                <c:pt idx="842">
                  <c:v>-0.48052083724465966</c:v>
                </c:pt>
                <c:pt idx="843">
                  <c:v>-0.48052232352133828</c:v>
                </c:pt>
                <c:pt idx="844">
                  <c:v>-0.48052380976043452</c:v>
                </c:pt>
                <c:pt idx="845">
                  <c:v>-0.48052529596195726</c:v>
                </c:pt>
                <c:pt idx="846">
                  <c:v>-0.48052678212590649</c:v>
                </c:pt>
                <c:pt idx="847">
                  <c:v>-0.48052826825227335</c:v>
                </c:pt>
                <c:pt idx="848">
                  <c:v>-0.48052975434106848</c:v>
                </c:pt>
                <c:pt idx="849">
                  <c:v>-0.48053124039228656</c:v>
                </c:pt>
                <c:pt idx="850">
                  <c:v>-0.48053272640592937</c:v>
                </c:pt>
                <c:pt idx="851">
                  <c:v>-0.48053421238199689</c:v>
                </c:pt>
                <c:pt idx="852">
                  <c:v>-0.48053569832049625</c:v>
                </c:pt>
                <c:pt idx="853">
                  <c:v>-0.48053718422142389</c:v>
                </c:pt>
                <c:pt idx="854">
                  <c:v>-0.48053867008476736</c:v>
                </c:pt>
                <c:pt idx="855">
                  <c:v>-0.4805401559105551</c:v>
                </c:pt>
                <c:pt idx="856">
                  <c:v>-0.48054164169876579</c:v>
                </c:pt>
                <c:pt idx="857">
                  <c:v>-0.48054312744940653</c:v>
                </c:pt>
                <c:pt idx="858">
                  <c:v>-0.48054461316248265</c:v>
                </c:pt>
                <c:pt idx="859">
                  <c:v>-0.48054609883797816</c:v>
                </c:pt>
                <c:pt idx="860">
                  <c:v>-0.48054758447591439</c:v>
                </c:pt>
                <c:pt idx="861">
                  <c:v>-0.480549070076286</c:v>
                </c:pt>
                <c:pt idx="862">
                  <c:v>-0.48055055563908766</c:v>
                </c:pt>
                <c:pt idx="863">
                  <c:v>-0.48055204116431938</c:v>
                </c:pt>
                <c:pt idx="864">
                  <c:v>-0.48055352665199003</c:v>
                </c:pt>
                <c:pt idx="865">
                  <c:v>-0.48055501210209783</c:v>
                </c:pt>
                <c:pt idx="866">
                  <c:v>-0.48055649751464635</c:v>
                </c:pt>
                <c:pt idx="867">
                  <c:v>-0.48055798288962492</c:v>
                </c:pt>
                <c:pt idx="868">
                  <c:v>-0.48055946822704065</c:v>
                </c:pt>
                <c:pt idx="869">
                  <c:v>-0.48056095352689177</c:v>
                </c:pt>
                <c:pt idx="870">
                  <c:v>-0.48056243878918714</c:v>
                </c:pt>
                <c:pt idx="871">
                  <c:v>-0.48056392401391612</c:v>
                </c:pt>
                <c:pt idx="872">
                  <c:v>-0.48056540920109292</c:v>
                </c:pt>
                <c:pt idx="873">
                  <c:v>-0.4805668943507051</c:v>
                </c:pt>
                <c:pt idx="874">
                  <c:v>-0.48056837946276154</c:v>
                </c:pt>
                <c:pt idx="875">
                  <c:v>-0.48056986453725692</c:v>
                </c:pt>
                <c:pt idx="876">
                  <c:v>-0.48057134957419656</c:v>
                </c:pt>
                <c:pt idx="877">
                  <c:v>-0.48057283457358579</c:v>
                </c:pt>
                <c:pt idx="878">
                  <c:v>-0.48057431953541041</c:v>
                </c:pt>
                <c:pt idx="879">
                  <c:v>-0.48057580445968462</c:v>
                </c:pt>
                <c:pt idx="880">
                  <c:v>-0.48057728934640132</c:v>
                </c:pt>
                <c:pt idx="881">
                  <c:v>-0.48057877419555872</c:v>
                </c:pt>
                <c:pt idx="882">
                  <c:v>-0.48058025900717105</c:v>
                </c:pt>
                <c:pt idx="883">
                  <c:v>-0.48058174378122764</c:v>
                </c:pt>
                <c:pt idx="884">
                  <c:v>-0.48058322851773561</c:v>
                </c:pt>
                <c:pt idx="885">
                  <c:v>-0.48058471321668605</c:v>
                </c:pt>
                <c:pt idx="886">
                  <c:v>-0.48058619787809143</c:v>
                </c:pt>
                <c:pt idx="887">
                  <c:v>-0.48058768250194284</c:v>
                </c:pt>
                <c:pt idx="888">
                  <c:v>-0.48058916708824562</c:v>
                </c:pt>
                <c:pt idx="889">
                  <c:v>-0.48059065163699977</c:v>
                </c:pt>
                <c:pt idx="890">
                  <c:v>-0.48059213614820173</c:v>
                </c:pt>
                <c:pt idx="891">
                  <c:v>-0.48059362062186395</c:v>
                </c:pt>
                <c:pt idx="892">
                  <c:v>-0.48059510505797398</c:v>
                </c:pt>
                <c:pt idx="893">
                  <c:v>-0.48059658945653716</c:v>
                </c:pt>
                <c:pt idx="894">
                  <c:v>-0.48059807381756237</c:v>
                </c:pt>
                <c:pt idx="895">
                  <c:v>-0.48059955814103539</c:v>
                </c:pt>
                <c:pt idx="896">
                  <c:v>-0.48060104242696511</c:v>
                </c:pt>
                <c:pt idx="897">
                  <c:v>-0.48060252667535153</c:v>
                </c:pt>
                <c:pt idx="898">
                  <c:v>-0.48060401088619642</c:v>
                </c:pt>
                <c:pt idx="899">
                  <c:v>-0.48060549505949801</c:v>
                </c:pt>
                <c:pt idx="900">
                  <c:v>-0.48060697919525985</c:v>
                </c:pt>
                <c:pt idx="901">
                  <c:v>-0.48060846329347839</c:v>
                </c:pt>
                <c:pt idx="902">
                  <c:v>-0.48060994735416074</c:v>
                </c:pt>
                <c:pt idx="903">
                  <c:v>-0.48061143137730156</c:v>
                </c:pt>
                <c:pt idx="904">
                  <c:v>-0.48061291536290263</c:v>
                </c:pt>
                <c:pt idx="905">
                  <c:v>-0.48061439931096039</c:v>
                </c:pt>
                <c:pt idx="906">
                  <c:v>-0.48061588322148552</c:v>
                </c:pt>
                <c:pt idx="907">
                  <c:v>-0.48061736709447622</c:v>
                </c:pt>
                <c:pt idx="908">
                  <c:v>-0.48061885092993073</c:v>
                </c:pt>
                <c:pt idx="909">
                  <c:v>-0.48062033472784549</c:v>
                </c:pt>
                <c:pt idx="910">
                  <c:v>-0.4806218184882205</c:v>
                </c:pt>
                <c:pt idx="911">
                  <c:v>-0.48062330221106997</c:v>
                </c:pt>
                <c:pt idx="912">
                  <c:v>-0.48062478589638502</c:v>
                </c:pt>
                <c:pt idx="913">
                  <c:v>-0.48062626954416565</c:v>
                </c:pt>
                <c:pt idx="914">
                  <c:v>-0.48062775315441009</c:v>
                </c:pt>
                <c:pt idx="915">
                  <c:v>-0.48062923672712365</c:v>
                </c:pt>
                <c:pt idx="916">
                  <c:v>-0.48063072026230813</c:v>
                </c:pt>
                <c:pt idx="917">
                  <c:v>-0.48063220375995996</c:v>
                </c:pt>
                <c:pt idx="918">
                  <c:v>-0.48063368722008626</c:v>
                </c:pt>
                <c:pt idx="919">
                  <c:v>-0.48063517064268169</c:v>
                </c:pt>
                <c:pt idx="920">
                  <c:v>-0.48063665402774625</c:v>
                </c:pt>
                <c:pt idx="921">
                  <c:v>-0.48063813737528704</c:v>
                </c:pt>
                <c:pt idx="922">
                  <c:v>-0.4806396206852952</c:v>
                </c:pt>
                <c:pt idx="923">
                  <c:v>-0.48064110395778492</c:v>
                </c:pt>
                <c:pt idx="924">
                  <c:v>-0.48064258719274378</c:v>
                </c:pt>
                <c:pt idx="925">
                  <c:v>-0.48064407039017532</c:v>
                </c:pt>
                <c:pt idx="926">
                  <c:v>-0.48064555355008487</c:v>
                </c:pt>
                <c:pt idx="927">
                  <c:v>-0.48064703667247421</c:v>
                </c:pt>
                <c:pt idx="928">
                  <c:v>-0.48064851975733269</c:v>
                </c:pt>
                <c:pt idx="929">
                  <c:v>-0.48065000280467274</c:v>
                </c:pt>
                <c:pt idx="930">
                  <c:v>-0.48065148581449257</c:v>
                </c:pt>
                <c:pt idx="931">
                  <c:v>-0.48065296878678687</c:v>
                </c:pt>
                <c:pt idx="932">
                  <c:v>-0.48065445172156629</c:v>
                </c:pt>
                <c:pt idx="933">
                  <c:v>-0.4806559346188255</c:v>
                </c:pt>
                <c:pt idx="934">
                  <c:v>-0.48065741747855917</c:v>
                </c:pt>
                <c:pt idx="935">
                  <c:v>-0.48065890030077796</c:v>
                </c:pt>
                <c:pt idx="936">
                  <c:v>-0.48066038308548187</c:v>
                </c:pt>
                <c:pt idx="937">
                  <c:v>-0.48066186583266202</c:v>
                </c:pt>
                <c:pt idx="938">
                  <c:v>-0.48066334854233261</c:v>
                </c:pt>
                <c:pt idx="939">
                  <c:v>-0.4806648312144759</c:v>
                </c:pt>
                <c:pt idx="940">
                  <c:v>-0.48066631384911318</c:v>
                </c:pt>
                <c:pt idx="941">
                  <c:v>-0.48066779644623026</c:v>
                </c:pt>
                <c:pt idx="942">
                  <c:v>-0.48066927900583778</c:v>
                </c:pt>
                <c:pt idx="943">
                  <c:v>-0.4806707615279322</c:v>
                </c:pt>
                <c:pt idx="944">
                  <c:v>-0.48067224401251352</c:v>
                </c:pt>
                <c:pt idx="945">
                  <c:v>-0.48067372645957818</c:v>
                </c:pt>
                <c:pt idx="946">
                  <c:v>-0.48067520886913861</c:v>
                </c:pt>
                <c:pt idx="947">
                  <c:v>-0.48067669124118062</c:v>
                </c:pt>
                <c:pt idx="948">
                  <c:v>-0.48067817357572018</c:v>
                </c:pt>
                <c:pt idx="949">
                  <c:v>-0.48067965587274308</c:v>
                </c:pt>
                <c:pt idx="950">
                  <c:v>-0.48068113813226176</c:v>
                </c:pt>
                <c:pt idx="951">
                  <c:v>-0.48068262035427622</c:v>
                </c:pt>
                <c:pt idx="952">
                  <c:v>-0.48068410253877047</c:v>
                </c:pt>
                <c:pt idx="953">
                  <c:v>-0.48068558468577116</c:v>
                </c:pt>
                <c:pt idx="954">
                  <c:v>-0.48068706679525874</c:v>
                </c:pt>
                <c:pt idx="955">
                  <c:v>-0.48068854886724033</c:v>
                </c:pt>
                <c:pt idx="956">
                  <c:v>-0.4806900309017248</c:v>
                </c:pt>
                <c:pt idx="957">
                  <c:v>-0.48069151289869616</c:v>
                </c:pt>
                <c:pt idx="958">
                  <c:v>-0.48069299485816686</c:v>
                </c:pt>
                <c:pt idx="959">
                  <c:v>-0.48069447678013866</c:v>
                </c:pt>
                <c:pt idx="960">
                  <c:v>-0.48069595866460446</c:v>
                </c:pt>
                <c:pt idx="961">
                  <c:v>-0.4806974405115696</c:v>
                </c:pt>
                <c:pt idx="962">
                  <c:v>-0.48069892232103406</c:v>
                </c:pt>
                <c:pt idx="963">
                  <c:v>-0.48070040409299253</c:v>
                </c:pt>
                <c:pt idx="964">
                  <c:v>-0.48070188582745388</c:v>
                </c:pt>
                <c:pt idx="965">
                  <c:v>-0.48070336752441989</c:v>
                </c:pt>
                <c:pt idx="966">
                  <c:v>-0.48070484918389234</c:v>
                </c:pt>
                <c:pt idx="967">
                  <c:v>-0.48070633080586234</c:v>
                </c:pt>
                <c:pt idx="968">
                  <c:v>-0.48070781239032812</c:v>
                </c:pt>
                <c:pt idx="969">
                  <c:v>-0.48070929393730566</c:v>
                </c:pt>
                <c:pt idx="970">
                  <c:v>-0.48071077544678253</c:v>
                </c:pt>
                <c:pt idx="971">
                  <c:v>-0.48071225691876407</c:v>
                </c:pt>
                <c:pt idx="972">
                  <c:v>-0.48071373835325737</c:v>
                </c:pt>
                <c:pt idx="973">
                  <c:v>-0.48071521975025</c:v>
                </c:pt>
                <c:pt idx="974">
                  <c:v>-0.48071670110975617</c:v>
                </c:pt>
                <c:pt idx="975">
                  <c:v>-0.48071818243177233</c:v>
                </c:pt>
                <c:pt idx="976">
                  <c:v>-0.48071966371629138</c:v>
                </c:pt>
                <c:pt idx="977">
                  <c:v>-0.48072114496331508</c:v>
                </c:pt>
                <c:pt idx="978">
                  <c:v>-0.48072262617285411</c:v>
                </c:pt>
                <c:pt idx="979">
                  <c:v>-0.48072410734489424</c:v>
                </c:pt>
                <c:pt idx="980">
                  <c:v>-0.48072558847945501</c:v>
                </c:pt>
                <c:pt idx="981">
                  <c:v>-0.48072706957652578</c:v>
                </c:pt>
                <c:pt idx="982">
                  <c:v>-0.48072855063610298</c:v>
                </c:pt>
                <c:pt idx="983">
                  <c:v>-0.48073003165819728</c:v>
                </c:pt>
                <c:pt idx="984">
                  <c:v>-0.48073151264280689</c:v>
                </c:pt>
                <c:pt idx="985">
                  <c:v>-0.48073299358993715</c:v>
                </c:pt>
                <c:pt idx="986">
                  <c:v>-0.4807344744995703</c:v>
                </c:pt>
                <c:pt idx="987">
                  <c:v>-0.48073595537172054</c:v>
                </c:pt>
                <c:pt idx="988">
                  <c:v>-0.48073743620638965</c:v>
                </c:pt>
                <c:pt idx="989">
                  <c:v>-0.4807389170035723</c:v>
                </c:pt>
                <c:pt idx="990">
                  <c:v>-0.4807403977632756</c:v>
                </c:pt>
                <c:pt idx="991">
                  <c:v>-0.48074187848549599</c:v>
                </c:pt>
                <c:pt idx="992">
                  <c:v>-0.48074335917023703</c:v>
                </c:pt>
                <c:pt idx="993">
                  <c:v>-0.48074483981749694</c:v>
                </c:pt>
                <c:pt idx="994">
                  <c:v>-0.48074632042727394</c:v>
                </c:pt>
                <c:pt idx="995">
                  <c:v>-0.48074780099957692</c:v>
                </c:pt>
                <c:pt idx="996">
                  <c:v>-0.48074928153440055</c:v>
                </c:pt>
                <c:pt idx="997">
                  <c:v>-0.48075076203174305</c:v>
                </c:pt>
                <c:pt idx="998">
                  <c:v>-0.4807522424916062</c:v>
                </c:pt>
                <c:pt idx="999">
                  <c:v>-0.48075372291399709</c:v>
                </c:pt>
                <c:pt idx="1000">
                  <c:v>-0.48075520329891397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3-45DE-97F3-E9553C4910C3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19.803475681829138</c:v>
                </c:pt>
                <c:pt idx="2">
                  <c:v>87.051577634715997</c:v>
                </c:pt>
                <c:pt idx="3">
                  <c:v>115.22438547328019</c:v>
                </c:pt>
                <c:pt idx="4">
                  <c:v>104.30988060314712</c:v>
                </c:pt>
                <c:pt idx="5">
                  <c:v>98.558083321121714</c:v>
                </c:pt>
                <c:pt idx="6">
                  <c:v>97.971282188045208</c:v>
                </c:pt>
                <c:pt idx="7">
                  <c:v>97.38367028808365</c:v>
                </c:pt>
                <c:pt idx="8">
                  <c:v>96.795275218633861</c:v>
                </c:pt>
                <c:pt idx="9">
                  <c:v>96.206124468085747</c:v>
                </c:pt>
                <c:pt idx="10">
                  <c:v>95.616245412530219</c:v>
                </c:pt>
                <c:pt idx="11">
                  <c:v>95.025665312516438</c:v>
                </c:pt>
                <c:pt idx="12">
                  <c:v>94.434411309859584</c:v>
                </c:pt>
                <c:pt idx="13">
                  <c:v>93.842510424498798</c:v>
                </c:pt>
                <c:pt idx="14">
                  <c:v>93.249989551406472</c:v>
                </c:pt>
                <c:pt idx="15">
                  <c:v>92.65687545754858</c:v>
                </c:pt>
                <c:pt idx="16">
                  <c:v>92.063194778896602</c:v>
                </c:pt>
                <c:pt idx="17">
                  <c:v>91.468974017491533</c:v>
                </c:pt>
                <c:pt idx="18">
                  <c:v>90.874239538560019</c:v>
                </c:pt>
                <c:pt idx="19">
                  <c:v>90.279017567682857</c:v>
                </c:pt>
                <c:pt idx="20">
                  <c:v>89.683334188016417</c:v>
                </c:pt>
                <c:pt idx="21">
                  <c:v>89.087215337566832</c:v>
                </c:pt>
                <c:pt idx="22">
                  <c:v>88.490686806517346</c:v>
                </c:pt>
                <c:pt idx="23">
                  <c:v>87.893774234609026</c:v>
                </c:pt>
                <c:pt idx="24">
                  <c:v>87.296503108574854</c:v>
                </c:pt>
                <c:pt idx="25">
                  <c:v>86.698898759627511</c:v>
                </c:pt>
                <c:pt idx="26">
                  <c:v>86.100986361000793</c:v>
                </c:pt>
                <c:pt idx="27">
                  <c:v>85.5027909255449</c:v>
                </c:pt>
                <c:pt idx="28">
                  <c:v>84.904337303375584</c:v>
                </c:pt>
                <c:pt idx="29">
                  <c:v>84.30565017957727</c:v>
                </c:pt>
                <c:pt idx="30">
                  <c:v>83.706754071960063</c:v>
                </c:pt>
                <c:pt idx="31">
                  <c:v>83.107673328870874</c:v>
                </c:pt>
                <c:pt idx="32">
                  <c:v>82.508432127058541</c:v>
                </c:pt>
                <c:pt idx="33">
                  <c:v>81.90905446959276</c:v>
                </c:pt>
                <c:pt idx="34">
                  <c:v>81.309564183837182</c:v>
                </c:pt>
                <c:pt idx="35">
                  <c:v>80.709984919476199</c:v>
                </c:pt>
                <c:pt idx="36">
                  <c:v>80.110340146595689</c:v>
                </c:pt>
                <c:pt idx="37">
                  <c:v>79.510653153817287</c:v>
                </c:pt>
                <c:pt idx="38">
                  <c:v>78.910947046486527</c:v>
                </c:pt>
                <c:pt idx="39">
                  <c:v>78.311244744914163</c:v>
                </c:pt>
                <c:pt idx="40">
                  <c:v>77.711568982671039</c:v>
                </c:pt>
                <c:pt idx="41">
                  <c:v>77.111942304936036</c:v>
                </c:pt>
                <c:pt idx="42">
                  <c:v>76.512387066897048</c:v>
                </c:pt>
                <c:pt idx="43">
                  <c:v>75.912925432204688</c:v>
                </c:pt>
                <c:pt idx="44">
                  <c:v>75.313579371478625</c:v>
                </c:pt>
                <c:pt idx="45">
                  <c:v>74.714370660866507</c:v>
                </c:pt>
                <c:pt idx="46">
                  <c:v>74.115320880654494</c:v>
                </c:pt>
                <c:pt idx="47">
                  <c:v>73.516451413930312</c:v>
                </c:pt>
                <c:pt idx="48">
                  <c:v>72.917783445297403</c:v>
                </c:pt>
                <c:pt idx="49">
                  <c:v>72.319337959640592</c:v>
                </c:pt>
                <c:pt idx="50">
                  <c:v>71.721135740942941</c:v>
                </c:pt>
                <c:pt idx="51">
                  <c:v>71.123197371153083</c:v>
                </c:pt>
                <c:pt idx="52">
                  <c:v>70.525543229103107</c:v>
                </c:pt>
                <c:pt idx="53">
                  <c:v>69.928193489476385</c:v>
                </c:pt>
                <c:pt idx="54">
                  <c:v>69.331168121825385</c:v>
                </c:pt>
                <c:pt idx="55">
                  <c:v>68.734486889638532</c:v>
                </c:pt>
                <c:pt idx="56">
                  <c:v>68.138169349456263</c:v>
                </c:pt>
                <c:pt idx="57">
                  <c:v>67.542234850035626</c:v>
                </c:pt>
                <c:pt idx="58">
                  <c:v>66.946702531563147</c:v>
                </c:pt>
                <c:pt idx="59">
                  <c:v>66.351591324915503</c:v>
                </c:pt>
                <c:pt idx="60">
                  <c:v>65.756919950967585</c:v>
                </c:pt>
                <c:pt idx="61">
                  <c:v>65.162706919947468</c:v>
                </c:pt>
                <c:pt idx="62">
                  <c:v>64.568970530838101</c:v>
                </c:pt>
                <c:pt idx="63">
                  <c:v>63.520173328896831</c:v>
                </c:pt>
                <c:pt idx="64">
                  <c:v>62.016793740938184</c:v>
                </c:pt>
                <c:pt idx="65">
                  <c:v>60.51531867689576</c:v>
                </c:pt>
                <c:pt idx="66">
                  <c:v>59.015811747944511</c:v>
                </c:pt>
                <c:pt idx="67">
                  <c:v>57.100405155975523</c:v>
                </c:pt>
                <c:pt idx="68">
                  <c:v>54.769662879948825</c:v>
                </c:pt>
                <c:pt idx="69">
                  <c:v>51.698886790034798</c:v>
                </c:pt>
                <c:pt idx="70">
                  <c:v>47.889214155626462</c:v>
                </c:pt>
                <c:pt idx="71">
                  <c:v>44.086055022956494</c:v>
                </c:pt>
                <c:pt idx="72">
                  <c:v>40.289682353445436</c:v>
                </c:pt>
                <c:pt idx="73">
                  <c:v>36.500361262675092</c:v>
                </c:pt>
                <c:pt idx="74">
                  <c:v>32.718349018301467</c:v>
                </c:pt>
                <c:pt idx="75">
                  <c:v>28.943895042687931</c:v>
                </c:pt>
                <c:pt idx="76">
                  <c:v>25.177240920138029</c:v>
                </c:pt>
                <c:pt idx="77">
                  <c:v>21.418620408606564</c:v>
                </c:pt>
                <c:pt idx="78">
                  <c:v>17.668259455764517</c:v>
                </c:pt>
                <c:pt idx="79">
                  <c:v>13.926376219291921</c:v>
                </c:pt>
                <c:pt idx="80">
                  <c:v>10.193181091272088</c:v>
                </c:pt>
                <c:pt idx="81">
                  <c:v>7.3546753224343231</c:v>
                </c:pt>
                <c:pt idx="82">
                  <c:v>5.4089796951920448</c:v>
                </c:pt>
                <c:pt idx="83">
                  <c:v>3.4680390596156028</c:v>
                </c:pt>
                <c:pt idx="84">
                  <c:v>1.5318956213710999</c:v>
                </c:pt>
                <c:pt idx="85">
                  <c:v>-0.39941045705698552</c:v>
                </c:pt>
                <c:pt idx="86">
                  <c:v>-2.3258410395732452</c:v>
                </c:pt>
                <c:pt idx="87">
                  <c:v>-4.2473599993072924</c:v>
                </c:pt>
                <c:pt idx="88">
                  <c:v>-6.1639332010967856</c:v>
                </c:pt>
                <c:pt idx="89">
                  <c:v>-7.7955278188325083</c:v>
                </c:pt>
                <c:pt idx="90">
                  <c:v>-9.1428421307743832</c:v>
                </c:pt>
                <c:pt idx="91">
                  <c:v>-10.486637732004523</c:v>
                </c:pt>
                <c:pt idx="92">
                  <c:v>-11.826907284608208</c:v>
                </c:pt>
                <c:pt idx="93">
                  <c:v>-13.093624004349474</c:v>
                </c:pt>
                <c:pt idx="94">
                  <c:v>-14.286970639245045</c:v>
                </c:pt>
                <c:pt idx="95">
                  <c:v>-15.477161461331949</c:v>
                </c:pt>
                <c:pt idx="96">
                  <c:v>-16.664195605994003</c:v>
                </c:pt>
                <c:pt idx="97">
                  <c:v>-17.567940523772943</c:v>
                </c:pt>
                <c:pt idx="98">
                  <c:v>-18.189169987786276</c:v>
                </c:pt>
                <c:pt idx="99">
                  <c:v>-18.808813990803031</c:v>
                </c:pt>
                <c:pt idx="100">
                  <c:v>-19.426878502892528</c:v>
                </c:pt>
                <c:pt idx="101">
                  <c:v>-20.04336964426442</c:v>
                </c:pt>
                <c:pt idx="102">
                  <c:v>-20.658293683161219</c:v>
                </c:pt>
                <c:pt idx="103">
                  <c:v>-21.27165703376841</c:v>
                </c:pt>
                <c:pt idx="104">
                  <c:v>-21.883466254142483</c:v>
                </c:pt>
                <c:pt idx="105">
                  <c:v>-22.493728044156981</c:v>
                </c:pt>
                <c:pt idx="106">
                  <c:v>-23.102449243466946</c:v>
                </c:pt>
                <c:pt idx="107">
                  <c:v>-23.709636829491892</c:v>
                </c:pt>
                <c:pt idx="108">
                  <c:v>-24.315297915417663</c:v>
                </c:pt>
                <c:pt idx="109">
                  <c:v>-24.569208656149808</c:v>
                </c:pt>
                <c:pt idx="110">
                  <c:v>-24.472371635601853</c:v>
                </c:pt>
                <c:pt idx="111">
                  <c:v>-24.376012218297802</c:v>
                </c:pt>
                <c:pt idx="112">
                  <c:v>-24.280127281469841</c:v>
                </c:pt>
                <c:pt idx="113">
                  <c:v>-24.184713728044816</c:v>
                </c:pt>
                <c:pt idx="114">
                  <c:v>-24.089768486390216</c:v>
                </c:pt>
                <c:pt idx="115">
                  <c:v>-23.995288510063101</c:v>
                </c:pt>
                <c:pt idx="116">
                  <c:v>-23.901270777561894</c:v>
                </c:pt>
                <c:pt idx="117">
                  <c:v>-23.807712292081074</c:v>
                </c:pt>
                <c:pt idx="118">
                  <c:v>-23.714610081268663</c:v>
                </c:pt>
                <c:pt idx="119">
                  <c:v>-23.62196119698649</c:v>
                </c:pt>
                <c:pt idx="120">
                  <c:v>-23.529762715073197</c:v>
                </c:pt>
                <c:pt idx="121">
                  <c:v>-23.438011735109928</c:v>
                </c:pt>
                <c:pt idx="122">
                  <c:v>-23.346705380188794</c:v>
                </c:pt>
                <c:pt idx="123">
                  <c:v>-23.255840796683891</c:v>
                </c:pt>
                <c:pt idx="124">
                  <c:v>-23.165415154024856</c:v>
                </c:pt>
                <c:pt idx="125">
                  <c:v>-23.075425644473182</c:v>
                </c:pt>
                <c:pt idx="126">
                  <c:v>-22.985869482900871</c:v>
                </c:pt>
                <c:pt idx="127">
                  <c:v>-22.896743906571764</c:v>
                </c:pt>
                <c:pt idx="128">
                  <c:v>-22.80804617492517</c:v>
                </c:pt>
                <c:pt idx="129">
                  <c:v>-22.719773569362122</c:v>
                </c:pt>
                <c:pt idx="130">
                  <c:v>-22.631923393033844</c:v>
                </c:pt>
                <c:pt idx="131">
                  <c:v>-22.544492970632778</c:v>
                </c:pt>
                <c:pt idx="132">
                  <c:v>-22.457479648185807</c:v>
                </c:pt>
                <c:pt idx="133">
                  <c:v>-22.370880792849917</c:v>
                </c:pt>
                <c:pt idx="134">
                  <c:v>-22.284693792710044</c:v>
                </c:pt>
                <c:pt idx="135">
                  <c:v>-22.198916056579254</c:v>
                </c:pt>
                <c:pt idx="136">
                  <c:v>-22.113545013801101</c:v>
                </c:pt>
                <c:pt idx="137">
                  <c:v>-22.028578114054238</c:v>
                </c:pt>
                <c:pt idx="138">
                  <c:v>-21.944012827159145</c:v>
                </c:pt>
                <c:pt idx="139">
                  <c:v>-21.859846642886996</c:v>
                </c:pt>
                <c:pt idx="140">
                  <c:v>-21.776077070770757</c:v>
                </c:pt>
                <c:pt idx="141">
                  <c:v>-21.692701639918202</c:v>
                </c:pt>
                <c:pt idx="142">
                  <c:v>-21.60971789882711</c:v>
                </c:pt>
                <c:pt idx="143">
                  <c:v>-21.527123415202521</c:v>
                </c:pt>
                <c:pt idx="144">
                  <c:v>-21.444915775775883</c:v>
                </c:pt>
                <c:pt idx="145">
                  <c:v>-21.363092586126282</c:v>
                </c:pt>
                <c:pt idx="146">
                  <c:v>-21.28165147050365</c:v>
                </c:pt>
                <c:pt idx="147">
                  <c:v>-21.200590071653828</c:v>
                </c:pt>
                <c:pt idx="148">
                  <c:v>-21.119906050645579</c:v>
                </c:pt>
                <c:pt idx="149">
                  <c:v>-21.039597086699541</c:v>
                </c:pt>
                <c:pt idx="150">
                  <c:v>-20.959660877018933</c:v>
                </c:pt>
                <c:pt idx="151">
                  <c:v>-20.88009513662227</c:v>
                </c:pt>
                <c:pt idx="152">
                  <c:v>-20.800897598177706</c:v>
                </c:pt>
                <c:pt idx="153">
                  <c:v>-20.722066011839303</c:v>
                </c:pt>
                <c:pt idx="154">
                  <c:v>-20.643598145085079</c:v>
                </c:pt>
                <c:pt idx="155">
                  <c:v>-20.565491782556677</c:v>
                </c:pt>
                <c:pt idx="156">
                  <c:v>-20.487744725900956</c:v>
                </c:pt>
                <c:pt idx="157">
                  <c:v>-20.410354793613127</c:v>
                </c:pt>
                <c:pt idx="158">
                  <c:v>-20.333319820881673</c:v>
                </c:pt>
                <c:pt idx="159">
                  <c:v>-20.256637659434897</c:v>
                </c:pt>
                <c:pt idx="160">
                  <c:v>-20.180306177389127</c:v>
                </c:pt>
                <c:pt idx="161">
                  <c:v>-20.104323259098546</c:v>
                </c:pt>
                <c:pt idx="162">
                  <c:v>-20.028686805006636</c:v>
                </c:pt>
                <c:pt idx="163">
                  <c:v>-19.953394731499202</c:v>
                </c:pt>
                <c:pt idx="164">
                  <c:v>-19.878444970759002</c:v>
                </c:pt>
                <c:pt idx="165">
                  <c:v>-19.803835470621809</c:v>
                </c:pt>
                <c:pt idx="166">
                  <c:v>-19.72956419443415</c:v>
                </c:pt>
                <c:pt idx="167">
                  <c:v>-19.655629120912501</c:v>
                </c:pt>
                <c:pt idx="168">
                  <c:v>-19.582028244003915</c:v>
                </c:pt>
                <c:pt idx="169">
                  <c:v>-19.50875957274819</c:v>
                </c:pt>
                <c:pt idx="170">
                  <c:v>-19.435821131141541</c:v>
                </c:pt>
                <c:pt idx="171">
                  <c:v>-19.363210958001545</c:v>
                </c:pt>
                <c:pt idx="172">
                  <c:v>-19.290927106833703</c:v>
                </c:pt>
                <c:pt idx="173">
                  <c:v>-19.218967645699276</c:v>
                </c:pt>
                <c:pt idx="174">
                  <c:v>-19.147330657084542</c:v>
                </c:pt>
                <c:pt idx="175">
                  <c:v>-19.076014237771467</c:v>
                </c:pt>
                <c:pt idx="176">
                  <c:v>-19.00501649870969</c:v>
                </c:pt>
                <c:pt idx="177">
                  <c:v>-18.934335564889821</c:v>
                </c:pt>
                <c:pt idx="178">
                  <c:v>-18.863969575218142</c:v>
                </c:pt>
                <c:pt idx="179">
                  <c:v>-18.793916682392528</c:v>
                </c:pt>
                <c:pt idx="180">
                  <c:v>-18.72417505277971</c:v>
                </c:pt>
                <c:pt idx="181">
                  <c:v>-18.654742866293848</c:v>
                </c:pt>
                <c:pt idx="182">
                  <c:v>-18.585618316276236</c:v>
                </c:pt>
                <c:pt idx="183">
                  <c:v>-18.51679960937642</c:v>
                </c:pt>
                <c:pt idx="184">
                  <c:v>-18.448284965434404</c:v>
                </c:pt>
                <c:pt idx="185">
                  <c:v>-18.380072617364167</c:v>
                </c:pt>
                <c:pt idx="186">
                  <c:v>-18.31216081103836</c:v>
                </c:pt>
                <c:pt idx="187">
                  <c:v>-18.244547805174122</c:v>
                </c:pt>
                <c:pt idx="188">
                  <c:v>-18.17723187122019</c:v>
                </c:pt>
                <c:pt idx="189">
                  <c:v>-18.11021129324509</c:v>
                </c:pt>
                <c:pt idx="190">
                  <c:v>-18.043484367826455</c:v>
                </c:pt>
                <c:pt idx="191">
                  <c:v>-17.977049403941557</c:v>
                </c:pt>
                <c:pt idx="192">
                  <c:v>-17.91090472285892</c:v>
                </c:pt>
                <c:pt idx="193">
                  <c:v>-17.845048658030972</c:v>
                </c:pt>
                <c:pt idx="194">
                  <c:v>-17.779479554987908</c:v>
                </c:pt>
                <c:pt idx="195">
                  <c:v>-17.714195771232596</c:v>
                </c:pt>
                <c:pt idx="196">
                  <c:v>-17.649195676136486</c:v>
                </c:pt>
                <c:pt idx="197">
                  <c:v>-17.584477650836639</c:v>
                </c:pt>
                <c:pt idx="198">
                  <c:v>-17.52004008813379</c:v>
                </c:pt>
                <c:pt idx="199">
                  <c:v>-17.455881392391444</c:v>
                </c:pt>
                <c:pt idx="200">
                  <c:v>-17.391999979435994</c:v>
                </c:pt>
                <c:pt idx="201">
                  <c:v>-17.328394276457789</c:v>
                </c:pt>
                <c:pt idx="202">
                  <c:v>-16.700939807389162</c:v>
                </c:pt>
                <c:pt idx="203">
                  <c:v>-16.100035987624107</c:v>
                </c:pt>
                <c:pt idx="204">
                  <c:v>-15.524224696428737</c:v>
                </c:pt>
                <c:pt idx="205">
                  <c:v>-14.972147944741625</c:v>
                </c:pt>
                <c:pt idx="206">
                  <c:v>-14.44253970777106</c:v>
                </c:pt>
                <c:pt idx="207">
                  <c:v>-13.934218527545722</c:v>
                </c:pt>
                <c:pt idx="208">
                  <c:v>-13.446080803338395</c:v>
                </c:pt>
                <c:pt idx="209">
                  <c:v>-12.977094697619846</c:v>
                </c:pt>
                <c:pt idx="210">
                  <c:v>-12.526294593668265</c:v>
                </c:pt>
                <c:pt idx="211">
                  <c:v>-12.092776048338687</c:v>
                </c:pt>
                <c:pt idx="212">
                  <c:v>-11.675691189938288</c:v>
                </c:pt>
                <c:pt idx="213">
                  <c:v>-11.274244516788517</c:v>
                </c:pt>
                <c:pt idx="214">
                  <c:v>-10.887689056991478</c:v>
                </c:pt>
                <c:pt idx="215">
                  <c:v>-10.515322854252082</c:v>
                </c:pt>
                <c:pt idx="216">
                  <c:v>-10.156485748417921</c:v>
                </c:pt>
                <c:pt idx="217">
                  <c:v>-9.8105564227546758</c:v>
                </c:pt>
                <c:pt idx="218">
                  <c:v>-9.4769496929361257</c:v>
                </c:pt>
                <c:pt idx="219">
                  <c:v>-9.1551140153433135</c:v>
                </c:pt>
                <c:pt idx="220">
                  <c:v>-8.8445291945830515</c:v>
                </c:pt>
                <c:pt idx="221">
                  <c:v>-8.5447042721873263</c:v>
                </c:pt>
                <c:pt idx="222">
                  <c:v>-8.2551755802767506</c:v>
                </c:pt>
                <c:pt idx="223">
                  <c:v>-7.9755049455896891</c:v>
                </c:pt>
                <c:pt idx="224">
                  <c:v>-7.7052780307197564</c:v>
                </c:pt>
                <c:pt idx="225">
                  <c:v>-7.4441028006887464</c:v>
                </c:pt>
                <c:pt idx="226">
                  <c:v>-7.1916081041281217</c:v>
                </c:pt>
                <c:pt idx="227">
                  <c:v>-6.9474423593668302</c:v>
                </c:pt>
                <c:pt idx="228">
                  <c:v>-6.7112723366397216</c:v>
                </c:pt>
                <c:pt idx="229">
                  <c:v>-6.4827820284522168</c:v>
                </c:pt>
                <c:pt idx="230">
                  <c:v>-6.2616716008735072</c:v>
                </c:pt>
                <c:pt idx="231">
                  <c:v>-6.0476564191922453</c:v>
                </c:pt>
                <c:pt idx="232">
                  <c:v>-5.8404661419636161</c:v>
                </c:pt>
                <c:pt idx="233">
                  <c:v>-5.6398438780121847</c:v>
                </c:pt>
                <c:pt idx="234">
                  <c:v>-5.4455454014374371</c:v>
                </c:pt>
                <c:pt idx="235">
                  <c:v>-5.2573384201045048</c:v>
                </c:pt>
                <c:pt idx="236">
                  <c:v>-5.0750018934955587</c:v>
                </c:pt>
                <c:pt idx="237">
                  <c:v>-4.898325396153056</c:v>
                </c:pt>
                <c:pt idx="238">
                  <c:v>-4.727108523267523</c:v>
                </c:pt>
                <c:pt idx="239">
                  <c:v>-4.5611603352542485</c:v>
                </c:pt>
                <c:pt idx="240">
                  <c:v>-4.4002988384273412</c:v>
                </c:pt>
                <c:pt idx="241">
                  <c:v>-4.2443504991196566</c:v>
                </c:pt>
                <c:pt idx="242">
                  <c:v>-4.0931497888149462</c:v>
                </c:pt>
                <c:pt idx="243">
                  <c:v>-3.9465387580568492</c:v>
                </c:pt>
                <c:pt idx="244">
                  <c:v>-3.804366637079708</c:v>
                </c:pt>
                <c:pt idx="245">
                  <c:v>-3.6664894612705901</c:v>
                </c:pt>
                <c:pt idx="246">
                  <c:v>-3.5327697197217187</c:v>
                </c:pt>
                <c:pt idx="247">
                  <c:v>-3.4030760252693177</c:v>
                </c:pt>
                <c:pt idx="248">
                  <c:v>-3.2772828045397504</c:v>
                </c:pt>
                <c:pt idx="249">
                  <c:v>-3.1552700066380632</c:v>
                </c:pt>
                <c:pt idx="250">
                  <c:v>-3.0369228292184789</c:v>
                </c:pt>
                <c:pt idx="251">
                  <c:v>-2.9221314607720532</c:v>
                </c:pt>
                <c:pt idx="252">
                  <c:v>-2.8107908380543236</c:v>
                </c:pt>
                <c:pt idx="253">
                  <c:v>-2.7028004176561558</c:v>
                </c:pt>
                <c:pt idx="254">
                  <c:v>-2.598063960794748</c:v>
                </c:pt>
                <c:pt idx="255">
                  <c:v>-2.4964893304694251</c:v>
                </c:pt>
                <c:pt idx="256">
                  <c:v>-2.3979883001891471</c:v>
                </c:pt>
                <c:pt idx="257">
                  <c:v>-2.3024763735357987</c:v>
                </c:pt>
                <c:pt idx="258">
                  <c:v>-2.209872613880044</c:v>
                </c:pt>
                <c:pt idx="259">
                  <c:v>-2.1200994836149589</c:v>
                </c:pt>
                <c:pt idx="260">
                  <c:v>-2.033082692317322</c:v>
                </c:pt>
                <c:pt idx="261">
                  <c:v>-1.9487510532875818</c:v>
                </c:pt>
                <c:pt idx="262">
                  <c:v>-1.8670363479575027</c:v>
                </c:pt>
                <c:pt idx="263">
                  <c:v>-1.787873197689438</c:v>
                </c:pt>
                <c:pt idx="264">
                  <c:v>-1.7111989425235556</c:v>
                </c:pt>
                <c:pt idx="265">
                  <c:v>-1.6369535264590895</c:v>
                </c:pt>
                <c:pt idx="266">
                  <c:v>-1.5650793888832752</c:v>
                </c:pt>
                <c:pt idx="267">
                  <c:v>-1.4955213617869825</c:v>
                </c:pt>
                <c:pt idx="268">
                  <c:v>-1.4282265724295538</c:v>
                </c:pt>
                <c:pt idx="269">
                  <c:v>-1.3631443511369612</c:v>
                </c:pt>
                <c:pt idx="270">
                  <c:v>-1.3002261439373546</c:v>
                </c:pt>
                <c:pt idx="271">
                  <c:v>-1.2394254297564209</c:v>
                </c:pt>
                <c:pt idx="272">
                  <c:v>-1.1806976419118771</c:v>
                </c:pt>
                <c:pt idx="273">
                  <c:v>-1.1240000936618826</c:v>
                </c:pt>
                <c:pt idx="274">
                  <c:v>-1.0692919075763334</c:v>
                </c:pt>
                <c:pt idx="275">
                  <c:v>-1.0165339485128733</c:v>
                </c:pt>
                <c:pt idx="276">
                  <c:v>-0.96568875999114523</c:v>
                </c:pt>
                <c:pt idx="277">
                  <c:v>-0.91672050376925607</c:v>
                </c:pt>
                <c:pt idx="278">
                  <c:v>-0.86959490243574067</c:v>
                </c:pt>
                <c:pt idx="279">
                  <c:v>-0.82427918483843665</c:v>
                </c:pt>
                <c:pt idx="280">
                  <c:v>-0.78074203417860155</c:v>
                </c:pt>
                <c:pt idx="281">
                  <c:v>-0.73895353860432689</c:v>
                </c:pt>
                <c:pt idx="282">
                  <c:v>-0.69888514414173553</c:v>
                </c:pt>
                <c:pt idx="283">
                  <c:v>-0.66050960980552986</c:v>
                </c:pt>
                <c:pt idx="284">
                  <c:v>-0.62380096473213009</c:v>
                </c:pt>
                <c:pt idx="285">
                  <c:v>-0.58873446717869204</c:v>
                </c:pt>
                <c:pt idx="286">
                  <c:v>-0.55528656522971143</c:v>
                </c:pt>
                <c:pt idx="287">
                  <c:v>-0.52343485904941622</c:v>
                </c:pt>
                <c:pt idx="288">
                  <c:v>-0.49315806451263461</c:v>
                </c:pt>
                <c:pt idx="289">
                  <c:v>-0.4644359780390323</c:v>
                </c:pt>
                <c:pt idx="290">
                  <c:v>-0.43724944244541919</c:v>
                </c:pt>
                <c:pt idx="291">
                  <c:v>-0.41158031361800335</c:v>
                </c:pt>
                <c:pt idx="292">
                  <c:v>-0.38741142779093618</c:v>
                </c:pt>
                <c:pt idx="293">
                  <c:v>-0.36472656919926244</c:v>
                </c:pt>
                <c:pt idx="294">
                  <c:v>-0.34351043785357199</c:v>
                </c:pt>
                <c:pt idx="295">
                  <c:v>-0.32374861716076697</c:v>
                </c:pt>
                <c:pt idx="296">
                  <c:v>-0.30542754109116915</c:v>
                </c:pt>
                <c:pt idx="297">
                  <c:v>-0.2885344605681226</c:v>
                </c:pt>
                <c:pt idx="298">
                  <c:v>-0.27305740873432044</c:v>
                </c:pt>
                <c:pt idx="299">
                  <c:v>-0.25898516473225786</c:v>
                </c:pt>
                <c:pt idx="300">
                  <c:v>-0.24630721562834257</c:v>
                </c:pt>
                <c:pt idx="301">
                  <c:v>-0.235013716116106</c:v>
                </c:pt>
                <c:pt idx="302">
                  <c:v>-0.22509544565923392</c:v>
                </c:pt>
                <c:pt idx="303">
                  <c:v>-0.21654376278551321</c:v>
                </c:pt>
                <c:pt idx="304">
                  <c:v>-0.20935055632342128</c:v>
                </c:pt>
                <c:pt idx="305">
                  <c:v>-0.20350819348709134</c:v>
                </c:pt>
                <c:pt idx="306">
                  <c:v>-0.19900946486248489</c:v>
                </c:pt>
                <c:pt idx="307">
                  <c:v>-0.19584752652255158</c:v>
                </c:pt>
                <c:pt idx="308">
                  <c:v>-0.1940158396908909</c:v>
                </c:pt>
                <c:pt idx="309">
                  <c:v>-0.19350810856530729</c:v>
                </c:pt>
                <c:pt idx="310">
                  <c:v>-0.19431821708417249</c:v>
                </c:pt>
                <c:pt idx="311">
                  <c:v>-0.19644016554856203</c:v>
                </c:pt>
                <c:pt idx="312">
                  <c:v>-0.19986800808419153</c:v>
                </c:pt>
                <c:pt idx="313">
                  <c:v>-0.204595791929088</c:v>
                </c:pt>
                <c:pt idx="314">
                  <c:v>-0.21061749946542357</c:v>
                </c:pt>
                <c:pt idx="315">
                  <c:v>-0.21792699378665964</c:v>
                </c:pt>
                <c:pt idx="316">
                  <c:v>-0.22651796842140756</c:v>
                </c:pt>
                <c:pt idx="317">
                  <c:v>-0.2363839016443274</c:v>
                </c:pt>
                <c:pt idx="318">
                  <c:v>-0.24751801561276676</c:v>
                </c:pt>
                <c:pt idx="319">
                  <c:v>-0.2599132403926997</c:v>
                </c:pt>
                <c:pt idx="320">
                  <c:v>-0.27356218279036837</c:v>
                </c:pt>
                <c:pt idx="321">
                  <c:v>-0.28845709979236495</c:v>
                </c:pt>
                <c:pt idx="322">
                  <c:v>-0.30458987633725471</c:v>
                </c:pt>
                <c:pt idx="323">
                  <c:v>-0.32195200709308008</c:v>
                </c:pt>
                <c:pt idx="324">
                  <c:v>-0.34053458189208835</c:v>
                </c:pt>
                <c:pt idx="325">
                  <c:v>-0.36032827447090465</c:v>
                </c:pt>
                <c:pt idx="326">
                  <c:v>-0.38132333417543374</c:v>
                </c:pt>
                <c:pt idx="327">
                  <c:v>-0.40350958031013368</c:v>
                </c:pt>
                <c:pt idx="328">
                  <c:v>-0.42687639883694245</c:v>
                </c:pt>
                <c:pt idx="329">
                  <c:v>-0.45141274115713592</c:v>
                </c:pt>
                <c:pt idx="330">
                  <c:v>-0.47710712473760175</c:v>
                </c:pt>
                <c:pt idx="331">
                  <c:v>-0.50394763537010234</c:v>
                </c:pt>
                <c:pt idx="332">
                  <c:v>-0.53192193087720596</c:v>
                </c:pt>
                <c:pt idx="333">
                  <c:v>-0.56101724610130865</c:v>
                </c:pt>
                <c:pt idx="334">
                  <c:v>-0.59122039903336698</c:v>
                </c:pt>
                <c:pt idx="335">
                  <c:v>-0.62251779795569773</c:v>
                </c:pt>
                <c:pt idx="336">
                  <c:v>-0.65489544948858136</c:v>
                </c:pt>
                <c:pt idx="337">
                  <c:v>-0.68833896744366718</c:v>
                </c:pt>
                <c:pt idx="338">
                  <c:v>-0.72283358239853412</c:v>
                </c:pt>
                <c:pt idx="339">
                  <c:v>-0.7583641519164479</c:v>
                </c:pt>
                <c:pt idx="340">
                  <c:v>-0.79491517134361223</c:v>
                </c:pt>
                <c:pt idx="341">
                  <c:v>-0.8324707851232066</c:v>
                </c:pt>
                <c:pt idx="342">
                  <c:v>-0.87101479857146036</c:v>
                </c:pt>
                <c:pt idx="343">
                  <c:v>-0.91053069006607457</c:v>
                </c:pt>
                <c:pt idx="344">
                  <c:v>-0.95100162360160057</c:v>
                </c:pt>
                <c:pt idx="345">
                  <c:v>-0.99241046167005631</c:v>
                </c:pt>
                <c:pt idx="346">
                  <c:v>-1.0347397784282122</c:v>
                </c:pt>
                <c:pt idx="347">
                  <c:v>-1.0779718731156713</c:v>
                </c:pt>
                <c:pt idx="348">
                  <c:v>-1.1220887836902038</c:v>
                </c:pt>
                <c:pt idx="349">
                  <c:v>-1.1670723006488291</c:v>
                </c:pt>
                <c:pt idx="350">
                  <c:v>-1.2129039810049063</c:v>
                </c:pt>
                <c:pt idx="351">
                  <c:v>-1.2595651623930706</c:v>
                </c:pt>
                <c:pt idx="352">
                  <c:v>-1.3070369772752382</c:v>
                </c:pt>
                <c:pt idx="353">
                  <c:v>-1.3553003672221666</c:v>
                </c:pt>
                <c:pt idx="354">
                  <c:v>-1.4043360972461774</c:v>
                </c:pt>
                <c:pt idx="355">
                  <c:v>-1.4541247701617133</c:v>
                </c:pt>
                <c:pt idx="356">
                  <c:v>-1.5046468409513516</c:v>
                </c:pt>
                <c:pt idx="357">
                  <c:v>-1.5558826311157963</c:v>
                </c:pt>
                <c:pt idx="358">
                  <c:v>-1.60781234298724</c:v>
                </c:pt>
                <c:pt idx="359">
                  <c:v>-1.6604160739862879</c:v>
                </c:pt>
                <c:pt idx="360">
                  <c:v>-1.713673830803417</c:v>
                </c:pt>
                <c:pt idx="361">
                  <c:v>-1.767565543486699</c:v>
                </c:pt>
                <c:pt idx="362">
                  <c:v>-1.8220710794182609</c:v>
                </c:pt>
                <c:pt idx="363">
                  <c:v>-1.8771702571626501</c:v>
                </c:pt>
                <c:pt idx="364">
                  <c:v>-1.9328428601710239</c:v>
                </c:pt>
                <c:pt idx="365">
                  <c:v>-1.9890686503257216</c:v>
                </c:pt>
                <c:pt idx="366">
                  <c:v>-2.0458273813105201</c:v>
                </c:pt>
                <c:pt idx="367">
                  <c:v>-2.1030988117925258</c:v>
                </c:pt>
                <c:pt idx="368">
                  <c:v>-2.1608627184023632</c:v>
                </c:pt>
                <c:pt idx="369">
                  <c:v>-2.2190989084999511</c:v>
                </c:pt>
                <c:pt idx="370">
                  <c:v>-2.2777872327138851</c:v>
                </c:pt>
                <c:pt idx="371">
                  <c:v>-2.3369075972430706</c:v>
                </c:pt>
                <c:pt idx="372">
                  <c:v>-2.3964399759099377</c:v>
                </c:pt>
                <c:pt idx="373">
                  <c:v>-2.4563644219552216</c:v>
                </c:pt>
                <c:pt idx="374">
                  <c:v>-2.5166610795649516</c:v>
                </c:pt>
                <c:pt idx="375">
                  <c:v>-2.5773101951209387</c:v>
                </c:pt>
                <c:pt idx="376">
                  <c:v>-2.6382921281667273</c:v>
                </c:pt>
                <c:pt idx="377">
                  <c:v>-2.6995873620815649</c:v>
                </c:pt>
                <c:pt idx="378">
                  <c:v>-2.7611765144556224</c:v>
                </c:pt>
                <c:pt idx="379">
                  <c:v>-2.8230403471603269</c:v>
                </c:pt>
                <c:pt idx="380">
                  <c:v>-2.8851597761082513</c:v>
                </c:pt>
                <c:pt idx="381">
                  <c:v>-2.9475158806976487</c:v>
                </c:pt>
                <c:pt idx="382">
                  <c:v>-3.0100899129373215</c:v>
                </c:pt>
                <c:pt idx="383">
                  <c:v>-3.0728633062480677</c:v>
                </c:pt>
                <c:pt idx="384">
                  <c:v>-3.1358176839375811</c:v>
                </c:pt>
                <c:pt idx="385">
                  <c:v>-3.1989348673462281</c:v>
                </c:pt>
                <c:pt idx="386">
                  <c:v>-3.262196883661638</c:v>
                </c:pt>
                <c:pt idx="387">
                  <c:v>-3.3255859734006776</c:v>
                </c:pt>
                <c:pt idx="388">
                  <c:v>-3.389084597557797</c:v>
                </c:pt>
                <c:pt idx="389">
                  <c:v>-3.4526754444193712</c:v>
                </c:pt>
                <c:pt idx="390">
                  <c:v>-3.5163414360440401</c:v>
                </c:pt>
                <c:pt idx="391">
                  <c:v>-3.5800657344096325</c:v>
                </c:pt>
                <c:pt idx="392">
                  <c:v>-3.6438317472276545</c:v>
                </c:pt>
                <c:pt idx="393">
                  <c:v>-3.7076231334268521</c:v>
                </c:pt>
                <c:pt idx="394">
                  <c:v>-3.7714238083076856</c:v>
                </c:pt>
                <c:pt idx="395">
                  <c:v>-3.8352179483700963</c:v>
                </c:pt>
                <c:pt idx="396">
                  <c:v>-3.8989899958172511</c:v>
                </c:pt>
                <c:pt idx="397">
                  <c:v>-3.9627246627383723</c:v>
                </c:pt>
                <c:pt idx="398">
                  <c:v>-4.0264069349741405</c:v>
                </c:pt>
                <c:pt idx="399">
                  <c:v>-4.0900220756684469</c:v>
                </c:pt>
                <c:pt idx="400">
                  <c:v>-4.1535556285107189</c:v>
                </c:pt>
                <c:pt idx="401">
                  <c:v>-4.2169934206731998</c:v>
                </c:pt>
                <c:pt idx="402">
                  <c:v>-4.2803215654479727</c:v>
                </c:pt>
                <c:pt idx="403">
                  <c:v>-4.3435264645887868</c:v>
                </c:pt>
                <c:pt idx="404">
                  <c:v>-4.4065948103629493</c:v>
                </c:pt>
                <c:pt idx="405">
                  <c:v>-4.4695135873187892</c:v>
                </c:pt>
                <c:pt idx="406">
                  <c:v>-4.5322700737745309</c:v>
                </c:pt>
                <c:pt idx="407">
                  <c:v>-4.5948518430344523</c:v>
                </c:pt>
                <c:pt idx="408">
                  <c:v>-4.6572467643385584</c:v>
                </c:pt>
                <c:pt idx="409">
                  <c:v>-4.7194430035520245</c:v>
                </c:pt>
                <c:pt idx="410">
                  <c:v>-4.7814290236009462</c:v>
                </c:pt>
                <c:pt idx="411">
                  <c:v>-4.8431935846609964</c:v>
                </c:pt>
                <c:pt idx="412">
                  <c:v>-4.9047257441057353</c:v>
                </c:pt>
                <c:pt idx="413">
                  <c:v>-4.9660148562214195</c:v>
                </c:pt>
                <c:pt idx="414">
                  <c:v>-5.0270505716952956</c:v>
                </c:pt>
                <c:pt idx="415">
                  <c:v>-5.0878228368843423</c:v>
                </c:pt>
                <c:pt idx="416">
                  <c:v>-5.148321892871591</c:v>
                </c:pt>
                <c:pt idx="417">
                  <c:v>-5.2085382743171822</c:v>
                </c:pt>
                <c:pt idx="418">
                  <c:v>-5.2684628081112859</c:v>
                </c:pt>
                <c:pt idx="419">
                  <c:v>-5.3280866118361327</c:v>
                </c:pt>
                <c:pt idx="420">
                  <c:v>-5.3874010920443078</c:v>
                </c:pt>
                <c:pt idx="421">
                  <c:v>-5.4463979423606199</c:v>
                </c:pt>
                <c:pt idx="422">
                  <c:v>-5.5050691414146105</c:v>
                </c:pt>
                <c:pt idx="423">
                  <c:v>-5.5634069506110153</c:v>
                </c:pt>
                <c:pt idx="424">
                  <c:v>-5.6214039117452153</c:v>
                </c:pt>
                <c:pt idx="425">
                  <c:v>-5.6790528444708137</c:v>
                </c:pt>
                <c:pt idx="426">
                  <c:v>-5.7363468436264018</c:v>
                </c:pt>
                <c:pt idx="427">
                  <c:v>-5.7932792764284686</c:v>
                </c:pt>
                <c:pt idx="428">
                  <c:v>-5.8498437795373484</c:v>
                </c:pt>
                <c:pt idx="429">
                  <c:v>-5.9060342560031032</c:v>
                </c:pt>
                <c:pt idx="430">
                  <c:v>-5.9618448720979975</c:v>
                </c:pt>
                <c:pt idx="431">
                  <c:v>-6.0172700540422648</c:v>
                </c:pt>
                <c:pt idx="432">
                  <c:v>-6.0723044846297309</c:v>
                </c:pt>
                <c:pt idx="433">
                  <c:v>-6.126943099759675</c:v>
                </c:pt>
                <c:pt idx="434">
                  <c:v>-6.18118108488133</c:v>
                </c:pt>
                <c:pt idx="435">
                  <c:v>-6.2350138713571459</c:v>
                </c:pt>
                <c:pt idx="436">
                  <c:v>-6.2884371327510236</c:v>
                </c:pt>
                <c:pt idx="437">
                  <c:v>-6.3414467810473445</c:v>
                </c:pt>
                <c:pt idx="438">
                  <c:v>-6.3940389628067456</c:v>
                </c:pt>
                <c:pt idx="439">
                  <c:v>-6.4462100552642578</c:v>
                </c:pt>
                <c:pt idx="440">
                  <c:v>-6.4979566623753975</c:v>
                </c:pt>
                <c:pt idx="441">
                  <c:v>-6.5492756108156476</c:v>
                </c:pt>
                <c:pt idx="442">
                  <c:v>-6.6001639459385579</c:v>
                </c:pt>
                <c:pt idx="443">
                  <c:v>-6.6506189276976224</c:v>
                </c:pt>
                <c:pt idx="444">
                  <c:v>-6.7006380265369261</c:v>
                </c:pt>
                <c:pt idx="445">
                  <c:v>-6.7502189192553859</c:v>
                </c:pt>
                <c:pt idx="446">
                  <c:v>-6.7993594848492691</c:v>
                </c:pt>
                <c:pt idx="447">
                  <c:v>-6.8480578003375383</c:v>
                </c:pt>
                <c:pt idx="448">
                  <c:v>-6.8963121365744051</c:v>
                </c:pt>
                <c:pt idx="449">
                  <c:v>-6.9441209540533411</c:v>
                </c:pt>
                <c:pt idx="450">
                  <c:v>-6.9914828987065949</c:v>
                </c:pt>
                <c:pt idx="451">
                  <c:v>-7.0383967977042481</c:v>
                </c:pt>
                <c:pt idx="452">
                  <c:v>-7.0848616552564794</c:v>
                </c:pt>
                <c:pt idx="453">
                  <c:v>-7.1308766484227606</c:v>
                </c:pt>
                <c:pt idx="454">
                  <c:v>-7.1764411229314833</c:v>
                </c:pt>
                <c:pt idx="455">
                  <c:v>-7.2215545890132997</c:v>
                </c:pt>
                <c:pt idx="456">
                  <c:v>-7.2662167172514494</c:v>
                </c:pt>
                <c:pt idx="457">
                  <c:v>-7.3104273344521316</c:v>
                </c:pt>
                <c:pt idx="458">
                  <c:v>-7.3541864195377942</c:v>
                </c:pt>
                <c:pt idx="459">
                  <c:v>-7.3974940994661553</c:v>
                </c:pt>
                <c:pt idx="460">
                  <c:v>-7.440350645177654</c:v>
                </c:pt>
                <c:pt idx="461">
                  <c:v>-7.4827564675737364</c:v>
                </c:pt>
                <c:pt idx="462">
                  <c:v>-7.5247121135284534</c:v>
                </c:pt>
                <c:pt idx="463">
                  <c:v>-7.5662182619356004</c:v>
                </c:pt>
                <c:pt idx="464">
                  <c:v>-7.6072757197934742</c:v>
                </c:pt>
                <c:pt idx="465">
                  <c:v>-7.647885418329297</c:v>
                </c:pt>
                <c:pt idx="466">
                  <c:v>-7.6880484091651926</c:v>
                </c:pt>
                <c:pt idx="467">
                  <c:v>-7.727765860527442</c:v>
                </c:pt>
                <c:pt idx="468">
                  <c:v>-7.7670390535006817</c:v>
                </c:pt>
                <c:pt idx="469">
                  <c:v>-7.8058693783285609</c:v>
                </c:pt>
                <c:pt idx="470">
                  <c:v>-7.8442583307623046</c:v>
                </c:pt>
                <c:pt idx="471">
                  <c:v>-7.8822075084584675</c:v>
                </c:pt>
                <c:pt idx="472">
                  <c:v>-7.9197186074271189</c:v>
                </c:pt>
                <c:pt idx="473">
                  <c:v>-7.9567934185315305</c:v>
                </c:pt>
                <c:pt idx="474">
                  <c:v>-7.9934338240404124</c:v>
                </c:pt>
                <c:pt idx="475">
                  <c:v>-8.0296417942335818</c:v>
                </c:pt>
                <c:pt idx="476">
                  <c:v>-8.0654193840619328</c:v>
                </c:pt>
                <c:pt idx="477">
                  <c:v>-8.1007687298623718</c:v>
                </c:pt>
                <c:pt idx="478">
                  <c:v>-8.1356920461284439</c:v>
                </c:pt>
                <c:pt idx="479">
                  <c:v>-8.1701916223371427</c:v>
                </c:pt>
                <c:pt idx="480">
                  <c:v>-8.2042698198324828</c:v>
                </c:pt>
                <c:pt idx="481">
                  <c:v>-8.2379290687661051</c:v>
                </c:pt>
                <c:pt idx="482">
                  <c:v>-8.271171865095404</c:v>
                </c:pt>
                <c:pt idx="483">
                  <c:v>-8.3040007676393319</c:v>
                </c:pt>
                <c:pt idx="484">
                  <c:v>-8.3364183951920978</c:v>
                </c:pt>
                <c:pt idx="485">
                  <c:v>-8.3684274236949481</c:v>
                </c:pt>
                <c:pt idx="486">
                  <c:v>-8.4000305834659965</c:v>
                </c:pt>
                <c:pt idx="487">
                  <c:v>-8.4312306564881894</c:v>
                </c:pt>
                <c:pt idx="488">
                  <c:v>-8.4620304737553464</c:v>
                </c:pt>
                <c:pt idx="489">
                  <c:v>-8.4924329126761329</c:v>
                </c:pt>
                <c:pt idx="490">
                  <c:v>-8.5224408945358281</c:v>
                </c:pt>
                <c:pt idx="491">
                  <c:v>-8.5520573820157217</c:v>
                </c:pt>
                <c:pt idx="492">
                  <c:v>-8.5812853767697774</c:v>
                </c:pt>
                <c:pt idx="493">
                  <c:v>-8.6101279170584348</c:v>
                </c:pt>
                <c:pt idx="494">
                  <c:v>-8.6385880754390438</c:v>
                </c:pt>
                <c:pt idx="495">
                  <c:v>-8.6666689565126358</c:v>
                </c:pt>
                <c:pt idx="496">
                  <c:v>-8.6943736947266199</c:v>
                </c:pt>
                <c:pt idx="497">
                  <c:v>-8.7217054522329089</c:v>
                </c:pt>
                <c:pt idx="498">
                  <c:v>-8.748667416801057</c:v>
                </c:pt>
                <c:pt idx="499">
                  <c:v>-8.7752627997857733</c:v>
                </c:pt>
                <c:pt idx="500">
                  <c:v>-8.8014948341484374</c:v>
                </c:pt>
                <c:pt idx="501">
                  <c:v>-8.8273667725318745</c:v>
                </c:pt>
                <c:pt idx="502">
                  <c:v>-8.8528818853878963</c:v>
                </c:pt>
                <c:pt idx="503">
                  <c:v>-8.8780434591569577</c:v>
                </c:pt>
                <c:pt idx="504">
                  <c:v>-8.9028547944993033</c:v>
                </c:pt>
                <c:pt idx="505">
                  <c:v>-8.9273192045768734</c:v>
                </c:pt>
                <c:pt idx="506">
                  <c:v>-8.9514400133853869</c:v>
                </c:pt>
                <c:pt idx="507">
                  <c:v>-8.9752205541358414</c:v>
                </c:pt>
                <c:pt idx="508">
                  <c:v>-8.9986641676847334</c:v>
                </c:pt>
                <c:pt idx="509">
                  <c:v>-9.0217742010122475</c:v>
                </c:pt>
                <c:pt idx="510">
                  <c:v>-9.0445540057477469</c:v>
                </c:pt>
                <c:pt idx="511">
                  <c:v>-9.067006936741711</c:v>
                </c:pt>
                <c:pt idx="512">
                  <c:v>-9.0891363506834999</c:v>
                </c:pt>
                <c:pt idx="513">
                  <c:v>-9.1109456047639963</c:v>
                </c:pt>
                <c:pt idx="514">
                  <c:v>-9.1324380553825382</c:v>
                </c:pt>
                <c:pt idx="515">
                  <c:v>-9.1536170568972235</c:v>
                </c:pt>
                <c:pt idx="516">
                  <c:v>-9.1744859604179094</c:v>
                </c:pt>
                <c:pt idx="517">
                  <c:v>-9.1950481126410022</c:v>
                </c:pt>
                <c:pt idx="518">
                  <c:v>-9.2153068547253412</c:v>
                </c:pt>
                <c:pt idx="519">
                  <c:v>-9.2352655212083761</c:v>
                </c:pt>
                <c:pt idx="520">
                  <c:v>-9.2549274389617633</c:v>
                </c:pt>
                <c:pt idx="521">
                  <c:v>-9.2742959261856974</c:v>
                </c:pt>
                <c:pt idx="522">
                  <c:v>-9.2933742914411024</c:v>
                </c:pt>
                <c:pt idx="523">
                  <c:v>-9.3121658327189163</c:v>
                </c:pt>
                <c:pt idx="524">
                  <c:v>-9.3306738365457278</c:v>
                </c:pt>
                <c:pt idx="525">
                  <c:v>-9.3489015771248969</c:v>
                </c:pt>
                <c:pt idx="526">
                  <c:v>-9.3668523155124088</c:v>
                </c:pt>
                <c:pt idx="527">
                  <c:v>-9.3845292988267719</c:v>
                </c:pt>
                <c:pt idx="528">
                  <c:v>-9.401935759491975</c:v>
                </c:pt>
                <c:pt idx="529">
                  <c:v>-9.4190749145130344</c:v>
                </c:pt>
                <c:pt idx="530">
                  <c:v>-9.4359499647830791</c:v>
                </c:pt>
                <c:pt idx="531">
                  <c:v>-9.4525640944213816</c:v>
                </c:pt>
                <c:pt idx="532">
                  <c:v>-9.4689204701415886</c:v>
                </c:pt>
                <c:pt idx="533">
                  <c:v>-9.4850222406493501</c:v>
                </c:pt>
                <c:pt idx="534">
                  <c:v>-9.5008725360686181</c:v>
                </c:pt>
                <c:pt idx="535">
                  <c:v>-9.5164744673959678</c:v>
                </c:pt>
                <c:pt idx="536">
                  <c:v>-9.5318311259821229</c:v>
                </c:pt>
                <c:pt idx="537">
                  <c:v>-9.546945583040042</c:v>
                </c:pt>
                <c:pt idx="538">
                  <c:v>-9.5618208891788665</c:v>
                </c:pt>
                <c:pt idx="539">
                  <c:v>-9.5764600739630072</c:v>
                </c:pt>
                <c:pt idx="540">
                  <c:v>-9.5908661454957258</c:v>
                </c:pt>
                <c:pt idx="541">
                  <c:v>-9.6050420900265081</c:v>
                </c:pt>
                <c:pt idx="542">
                  <c:v>-9.6189908715816284</c:v>
                </c:pt>
                <c:pt idx="543">
                  <c:v>-9.6327154316171342</c:v>
                </c:pt>
                <c:pt idx="544">
                  <c:v>-9.6462186886938284</c:v>
                </c:pt>
                <c:pt idx="545">
                  <c:v>-9.659503538173313</c:v>
                </c:pt>
                <c:pt idx="546">
                  <c:v>-9.672572851934822</c:v>
                </c:pt>
                <c:pt idx="547">
                  <c:v>-9.6854294781118959</c:v>
                </c:pt>
                <c:pt idx="548">
                  <c:v>-9.6980762408486214</c:v>
                </c:pt>
                <c:pt idx="549">
                  <c:v>-9.7105159400745809</c:v>
                </c:pt>
                <c:pt idx="550">
                  <c:v>-9.7227513512980792</c:v>
                </c:pt>
                <c:pt idx="551">
                  <c:v>-9.734785225417097</c:v>
                </c:pt>
                <c:pt idx="552">
                  <c:v>-9.7466202885473034</c:v>
                </c:pt>
                <c:pt idx="553">
                  <c:v>-9.7582592418667033</c:v>
                </c:pt>
                <c:pt idx="554">
                  <c:v>-9.7697047614763068</c:v>
                </c:pt>
                <c:pt idx="555">
                  <c:v>-9.780959498276335</c:v>
                </c:pt>
                <c:pt idx="556">
                  <c:v>-9.7920260778574626</c:v>
                </c:pt>
                <c:pt idx="557">
                  <c:v>-9.8029071004065234</c:v>
                </c:pt>
                <c:pt idx="558">
                  <c:v>-9.8136051406263132</c:v>
                </c:pt>
                <c:pt idx="559">
                  <c:v>-9.8241227476688806</c:v>
                </c:pt>
                <c:pt idx="560">
                  <c:v>-9.8344624450818987</c:v>
                </c:pt>
                <c:pt idx="561">
                  <c:v>-9.8446267307677093</c:v>
                </c:pt>
                <c:pt idx="562">
                  <c:v>-9.8546180769544627</c:v>
                </c:pt>
                <c:pt idx="563">
                  <c:v>-9.8644389301790358</c:v>
                </c:pt>
                <c:pt idx="564">
                  <c:v>-9.8740917112812276</c:v>
                </c:pt>
                <c:pt idx="565">
                  <c:v>-9.8835788154088764</c:v>
                </c:pt>
                <c:pt idx="566">
                  <c:v>-9.8929026120333869</c:v>
                </c:pt>
                <c:pt idx="567">
                  <c:v>-9.9020654449754026</c:v>
                </c:pt>
                <c:pt idx="568">
                  <c:v>-9.9110696324401282</c:v>
                </c:pt>
                <c:pt idx="569">
                  <c:v>-9.9199174670619588</c:v>
                </c:pt>
                <c:pt idx="570">
                  <c:v>-9.9286112159581048</c:v>
                </c:pt>
                <c:pt idx="571">
                  <c:v>-9.9371531207906774</c:v>
                </c:pt>
                <c:pt idx="572">
                  <c:v>-9.9455453978371491</c:v>
                </c:pt>
                <c:pt idx="573">
                  <c:v>-9.953790238068601</c:v>
                </c:pt>
                <c:pt idx="574">
                  <c:v>-9.9618898072355346</c:v>
                </c:pt>
                <c:pt idx="575">
                  <c:v>-9.9698462459609676</c:v>
                </c:pt>
                <c:pt idx="576">
                  <c:v>-9.9776616698403533</c:v>
                </c:pt>
                <c:pt idx="577">
                  <c:v>-9.9853381695482177</c:v>
                </c:pt>
                <c:pt idx="578">
                  <c:v>-9.9928778109509775</c:v>
                </c:pt>
                <c:pt idx="579">
                  <c:v>-10.000282635225886</c:v>
                </c:pt>
                <c:pt idx="580">
                  <c:v>-10.007554658985663</c:v>
                </c:pt>
                <c:pt idx="581">
                  <c:v>-10.014695874408563</c:v>
                </c:pt>
                <c:pt idx="582">
                  <c:v>-10.021708249373681</c:v>
                </c:pt>
                <c:pt idx="583">
                  <c:v>-10.028593727601175</c:v>
                </c:pt>
                <c:pt idx="584">
                  <c:v>-10.035354228797159</c:v>
                </c:pt>
                <c:pt idx="585">
                  <c:v>-10.041991648803046</c:v>
                </c:pt>
                <c:pt idx="586">
                  <c:v>-10.048507859749105</c:v>
                </c:pt>
                <c:pt idx="587">
                  <c:v>-10.05490471021197</c:v>
                </c:pt>
                <c:pt idx="588">
                  <c:v>-10.061184025375876</c:v>
                </c:pt>
                <c:pt idx="589">
                  <c:v>-10.067347607197503</c:v>
                </c:pt>
                <c:pt idx="590">
                  <c:v>-10.073397234574058</c:v>
                </c:pt>
                <c:pt idx="591">
                  <c:v>-10.079334663514537</c:v>
                </c:pt>
                <c:pt idx="592">
                  <c:v>-10.085161627313882</c:v>
                </c:pt>
                <c:pt idx="593">
                  <c:v>-10.09087983672987</c:v>
                </c:pt>
                <c:pt idx="594">
                  <c:v>-10.096490980162578</c:v>
                </c:pt>
                <c:pt idx="595">
                  <c:v>-10.101996723836178</c:v>
                </c:pt>
                <c:pt idx="596">
                  <c:v>-10.10739871198299</c:v>
                </c:pt>
                <c:pt idx="597">
                  <c:v>-10.112698567029481</c:v>
                </c:pt>
                <c:pt idx="598">
                  <c:v>-10.117897889784219</c:v>
                </c:pt>
                <c:pt idx="599">
                  <c:v>-10.122998259627515</c:v>
                </c:pt>
                <c:pt idx="600">
                  <c:v>-10.128001234702577</c:v>
                </c:pt>
                <c:pt idx="601">
                  <c:v>-10.132908352108185</c:v>
                </c:pt>
                <c:pt idx="602">
                  <c:v>-10.137721128092545</c:v>
                </c:pt>
                <c:pt idx="603">
                  <c:v>-10.142441058248338</c:v>
                </c:pt>
                <c:pt idx="604">
                  <c:v>-10.14706961770878</c:v>
                </c:pt>
                <c:pt idx="605">
                  <c:v>-10.151608261344569</c:v>
                </c:pt>
                <c:pt idx="606">
                  <c:v>-10.156058423961568</c:v>
                </c:pt>
                <c:pt idx="607">
                  <c:v>-10.160421520499193</c:v>
                </c:pt>
                <c:pt idx="608">
                  <c:v>-10.164698946229267</c:v>
                </c:pt>
                <c:pt idx="609">
                  <c:v>-10.168892076955363</c:v>
                </c:pt>
                <c:pt idx="610">
                  <c:v>-10.173002269212441</c:v>
                </c:pt>
                <c:pt idx="611">
                  <c:v>-10.17703086046671</c:v>
                </c:pt>
                <c:pt idx="612">
                  <c:v>-10.18097916931564</c:v>
                </c:pt>
                <c:pt idx="613">
                  <c:v>-10.18484849568795</c:v>
                </c:pt>
                <c:pt idx="614">
                  <c:v>-10.188640121043633</c:v>
                </c:pt>
                <c:pt idx="615">
                  <c:v>-10.192355308573733</c:v>
                </c:pt>
                <c:pt idx="616">
                  <c:v>-10.195995303400011</c:v>
                </c:pt>
                <c:pt idx="617">
                  <c:v>-10.199561332774225</c:v>
                </c:pt>
                <c:pt idx="618">
                  <c:v>-10.203054606277068</c:v>
                </c:pt>
                <c:pt idx="619">
                  <c:v>-10.206476316016673</c:v>
                </c:pt>
                <c:pt idx="620">
                  <c:v>-10.209827636826555</c:v>
                </c:pt>
                <c:pt idx="621">
                  <c:v>-10.213109726463033</c:v>
                </c:pt>
                <c:pt idx="622">
                  <c:v>-10.216323725801971</c:v>
                </c:pt>
                <c:pt idx="623">
                  <c:v>-10.219470759034788</c:v>
                </c:pt>
                <c:pt idx="624">
                  <c:v>-10.222551933863777</c:v>
                </c:pt>
                <c:pt idx="625">
                  <c:v>-10.225568341696519</c:v>
                </c:pt>
                <c:pt idx="626">
                  <c:v>-10.228521057839513</c:v>
                </c:pt>
                <c:pt idx="627">
                  <c:v>-10.231411141690822</c:v>
                </c:pt>
                <c:pt idx="628">
                  <c:v>-10.23423963693177</c:v>
                </c:pt>
                <c:pt idx="629">
                  <c:v>-10.237007571717649</c:v>
                </c:pt>
                <c:pt idx="630">
                  <c:v>-10.239715958867357</c:v>
                </c:pt>
                <c:pt idx="631">
                  <c:v>-10.242365796051919</c:v>
                </c:pt>
                <c:pt idx="632">
                  <c:v>-10.244958065981917</c:v>
                </c:pt>
                <c:pt idx="633">
                  <c:v>-10.247493736593709</c:v>
                </c:pt>
                <c:pt idx="634">
                  <c:v>-10.2499737612345</c:v>
                </c:pt>
                <c:pt idx="635">
                  <c:v>-10.252399078846095</c:v>
                </c:pt>
                <c:pt idx="636">
                  <c:v>-10.254770614147466</c:v>
                </c:pt>
                <c:pt idx="637">
                  <c:v>-10.257089277815991</c:v>
                </c:pt>
                <c:pt idx="638">
                  <c:v>-10.259355966667357</c:v>
                </c:pt>
                <c:pt idx="639">
                  <c:v>-10.261571563834149</c:v>
                </c:pt>
                <c:pt idx="640">
                  <c:v>-10.26373693894303</c:v>
                </c:pt>
                <c:pt idx="641">
                  <c:v>-10.265852948290588</c:v>
                </c:pt>
                <c:pt idx="642">
                  <c:v>-10.267920435017679</c:v>
                </c:pt>
                <c:pt idx="643">
                  <c:v>-10.26994022928246</c:v>
                </c:pt>
                <c:pt idx="644">
                  <c:v>-10.271913148431858</c:v>
                </c:pt>
                <c:pt idx="645">
                  <c:v>-10.273839997171644</c:v>
                </c:pt>
                <c:pt idx="646">
                  <c:v>-10.275721567734989</c:v>
                </c:pt>
                <c:pt idx="647">
                  <c:v>-10.277558640049582</c:v>
                </c:pt>
                <c:pt idx="648">
                  <c:v>-10.27935198190317</c:v>
                </c:pt>
                <c:pt idx="649">
                  <c:v>-10.281102349107639</c:v>
                </c:pt>
                <c:pt idx="650">
                  <c:v>-10.282810485661544</c:v>
                </c:pt>
                <c:pt idx="651">
                  <c:v>-10.284477123911099</c:v>
                </c:pt>
                <c:pt idx="652">
                  <c:v>-10.286102984709652</c:v>
                </c:pt>
                <c:pt idx="653">
                  <c:v>-10.287688777575571</c:v>
                </c:pt>
                <c:pt idx="654">
                  <c:v>-10.289235200848601</c:v>
                </c:pt>
                <c:pt idx="655">
                  <c:v>-10.289236712877495</c:v>
                </c:pt>
                <c:pt idx="656">
                  <c:v>-10.289238224868345</c:v>
                </c:pt>
                <c:pt idx="657">
                  <c:v>-10.289239736821152</c:v>
                </c:pt>
                <c:pt idx="658">
                  <c:v>-10.289241248735925</c:v>
                </c:pt>
                <c:pt idx="659">
                  <c:v>-10.289242760612659</c:v>
                </c:pt>
                <c:pt idx="660">
                  <c:v>-10.289244272451358</c:v>
                </c:pt>
                <c:pt idx="661">
                  <c:v>-10.289245784252012</c:v>
                </c:pt>
                <c:pt idx="662">
                  <c:v>-10.289247296014635</c:v>
                </c:pt>
                <c:pt idx="663">
                  <c:v>-10.289248807739222</c:v>
                </c:pt>
                <c:pt idx="664">
                  <c:v>-10.289250319425769</c:v>
                </c:pt>
                <c:pt idx="665">
                  <c:v>-10.289251831074289</c:v>
                </c:pt>
                <c:pt idx="666">
                  <c:v>-10.289253342684773</c:v>
                </c:pt>
                <c:pt idx="667">
                  <c:v>-10.289254854257226</c:v>
                </c:pt>
                <c:pt idx="668">
                  <c:v>-10.289256365791639</c:v>
                </c:pt>
                <c:pt idx="669">
                  <c:v>-10.289257877288025</c:v>
                </c:pt>
                <c:pt idx="670">
                  <c:v>-10.28925938874638</c:v>
                </c:pt>
                <c:pt idx="671">
                  <c:v>-10.289260900166704</c:v>
                </c:pt>
                <c:pt idx="672">
                  <c:v>-10.289262411548997</c:v>
                </c:pt>
                <c:pt idx="673">
                  <c:v>-10.289263922893262</c:v>
                </c:pt>
                <c:pt idx="674">
                  <c:v>-10.289265434199498</c:v>
                </c:pt>
                <c:pt idx="675">
                  <c:v>-10.289266945467707</c:v>
                </c:pt>
                <c:pt idx="676">
                  <c:v>-10.289268456697899</c:v>
                </c:pt>
                <c:pt idx="677">
                  <c:v>-10.289269967890053</c:v>
                </c:pt>
                <c:pt idx="678">
                  <c:v>-10.289271479044183</c:v>
                </c:pt>
                <c:pt idx="679">
                  <c:v>-10.28927299016029</c:v>
                </c:pt>
                <c:pt idx="680">
                  <c:v>-10.289274501238374</c:v>
                </c:pt>
                <c:pt idx="681">
                  <c:v>-10.289276012278428</c:v>
                </c:pt>
                <c:pt idx="682">
                  <c:v>-10.289277523280461</c:v>
                </c:pt>
                <c:pt idx="683">
                  <c:v>-10.289279034244476</c:v>
                </c:pt>
                <c:pt idx="684">
                  <c:v>-10.289280545170467</c:v>
                </c:pt>
                <c:pt idx="685">
                  <c:v>-10.289282056058436</c:v>
                </c:pt>
                <c:pt idx="686">
                  <c:v>-10.28928356690839</c:v>
                </c:pt>
                <c:pt idx="687">
                  <c:v>-10.289285077720315</c:v>
                </c:pt>
                <c:pt idx="688">
                  <c:v>-10.289286588494228</c:v>
                </c:pt>
                <c:pt idx="689">
                  <c:v>-10.28928809923012</c:v>
                </c:pt>
                <c:pt idx="690">
                  <c:v>-10.289289609927993</c:v>
                </c:pt>
                <c:pt idx="691">
                  <c:v>-10.289291120587857</c:v>
                </c:pt>
                <c:pt idx="692">
                  <c:v>-10.289292631209692</c:v>
                </c:pt>
                <c:pt idx="693">
                  <c:v>-10.289294141793519</c:v>
                </c:pt>
                <c:pt idx="694">
                  <c:v>-10.289295652339327</c:v>
                </c:pt>
                <c:pt idx="695">
                  <c:v>-10.289297162847125</c:v>
                </c:pt>
                <c:pt idx="696">
                  <c:v>-10.289298673316909</c:v>
                </c:pt>
                <c:pt idx="697">
                  <c:v>-10.289300183748679</c:v>
                </c:pt>
                <c:pt idx="698">
                  <c:v>-10.289301694142438</c:v>
                </c:pt>
                <c:pt idx="699">
                  <c:v>-10.289303204498179</c:v>
                </c:pt>
                <c:pt idx="700">
                  <c:v>-10.289304714815916</c:v>
                </c:pt>
                <c:pt idx="701">
                  <c:v>-10.289306225095645</c:v>
                </c:pt>
                <c:pt idx="702">
                  <c:v>-10.289307735337353</c:v>
                </c:pt>
                <c:pt idx="703">
                  <c:v>-10.289309245541057</c:v>
                </c:pt>
                <c:pt idx="704">
                  <c:v>-10.289310755706756</c:v>
                </c:pt>
                <c:pt idx="705">
                  <c:v>-10.289312265834445</c:v>
                </c:pt>
                <c:pt idx="706">
                  <c:v>-10.289313775924134</c:v>
                </c:pt>
                <c:pt idx="707">
                  <c:v>-10.289315285975805</c:v>
                </c:pt>
                <c:pt idx="708">
                  <c:v>-10.289316795989471</c:v>
                </c:pt>
                <c:pt idx="709">
                  <c:v>-10.289318305965137</c:v>
                </c:pt>
                <c:pt idx="710">
                  <c:v>-10.289319815902797</c:v>
                </c:pt>
                <c:pt idx="711">
                  <c:v>-10.289321325802453</c:v>
                </c:pt>
                <c:pt idx="712">
                  <c:v>-10.289322835664107</c:v>
                </c:pt>
                <c:pt idx="713">
                  <c:v>-10.289324345487758</c:v>
                </c:pt>
                <c:pt idx="714">
                  <c:v>-10.289325855273411</c:v>
                </c:pt>
                <c:pt idx="715">
                  <c:v>-10.289327365021055</c:v>
                </c:pt>
                <c:pt idx="716">
                  <c:v>-10.289328874730703</c:v>
                </c:pt>
                <c:pt idx="717">
                  <c:v>-10.289330384402357</c:v>
                </c:pt>
                <c:pt idx="718">
                  <c:v>-10.289331894036003</c:v>
                </c:pt>
                <c:pt idx="719">
                  <c:v>-10.289333403631657</c:v>
                </c:pt>
                <c:pt idx="720">
                  <c:v>-10.289334913189309</c:v>
                </c:pt>
                <c:pt idx="721">
                  <c:v>-10.289336422708965</c:v>
                </c:pt>
                <c:pt idx="722">
                  <c:v>-10.289337932190621</c:v>
                </c:pt>
                <c:pt idx="723">
                  <c:v>-10.289339441634285</c:v>
                </c:pt>
                <c:pt idx="724">
                  <c:v>-10.28934095103995</c:v>
                </c:pt>
                <c:pt idx="725">
                  <c:v>-10.289342460407626</c:v>
                </c:pt>
                <c:pt idx="726">
                  <c:v>-10.289343969737308</c:v>
                </c:pt>
                <c:pt idx="727">
                  <c:v>-10.289345479028993</c:v>
                </c:pt>
                <c:pt idx="728">
                  <c:v>-10.289346988282688</c:v>
                </c:pt>
                <c:pt idx="729">
                  <c:v>-10.289348497498395</c:v>
                </c:pt>
                <c:pt idx="730">
                  <c:v>-10.289350006676104</c:v>
                </c:pt>
                <c:pt idx="731">
                  <c:v>-10.289351515815833</c:v>
                </c:pt>
                <c:pt idx="732">
                  <c:v>-10.289353024917562</c:v>
                </c:pt>
                <c:pt idx="733">
                  <c:v>-10.289354533981301</c:v>
                </c:pt>
                <c:pt idx="734">
                  <c:v>-10.289356043007054</c:v>
                </c:pt>
                <c:pt idx="735">
                  <c:v>-10.289357551994819</c:v>
                </c:pt>
                <c:pt idx="736">
                  <c:v>-10.289359060944593</c:v>
                </c:pt>
                <c:pt idx="737">
                  <c:v>-10.289360569856392</c:v>
                </c:pt>
                <c:pt idx="738">
                  <c:v>-10.289362078730193</c:v>
                </c:pt>
                <c:pt idx="739">
                  <c:v>-10.289363587566019</c:v>
                </c:pt>
                <c:pt idx="740">
                  <c:v>-10.289365096363856</c:v>
                </c:pt>
                <c:pt idx="741">
                  <c:v>-10.289366605123709</c:v>
                </c:pt>
                <c:pt idx="742">
                  <c:v>-10.28936811384558</c:v>
                </c:pt>
                <c:pt idx="743">
                  <c:v>-10.289369622529467</c:v>
                </c:pt>
                <c:pt idx="744">
                  <c:v>-10.289371131175372</c:v>
                </c:pt>
                <c:pt idx="745">
                  <c:v>-10.289372639783295</c:v>
                </c:pt>
                <c:pt idx="746">
                  <c:v>-10.289374148353239</c:v>
                </c:pt>
                <c:pt idx="747">
                  <c:v>-10.289375656885198</c:v>
                </c:pt>
                <c:pt idx="748">
                  <c:v>-10.289377165379186</c:v>
                </c:pt>
                <c:pt idx="749">
                  <c:v>-10.28937867383519</c:v>
                </c:pt>
                <c:pt idx="750">
                  <c:v>-10.28938018225322</c:v>
                </c:pt>
                <c:pt idx="751">
                  <c:v>-10.289381690633274</c:v>
                </c:pt>
                <c:pt idx="752">
                  <c:v>-10.289383198975344</c:v>
                </c:pt>
                <c:pt idx="753">
                  <c:v>-10.289384707279442</c:v>
                </c:pt>
                <c:pt idx="754">
                  <c:v>-10.289386215545566</c:v>
                </c:pt>
                <c:pt idx="755">
                  <c:v>-10.289387723773716</c:v>
                </c:pt>
                <c:pt idx="756">
                  <c:v>-10.289389231963893</c:v>
                </c:pt>
                <c:pt idx="757">
                  <c:v>-10.289390740116094</c:v>
                </c:pt>
                <c:pt idx="758">
                  <c:v>-10.289392248230323</c:v>
                </c:pt>
                <c:pt idx="759">
                  <c:v>-10.289393756306577</c:v>
                </c:pt>
                <c:pt idx="760">
                  <c:v>-10.289395264344865</c:v>
                </c:pt>
                <c:pt idx="761">
                  <c:v>-10.28939677234518</c:v>
                </c:pt>
                <c:pt idx="762">
                  <c:v>-10.289398280307525</c:v>
                </c:pt>
                <c:pt idx="763">
                  <c:v>-10.289399788231904</c:v>
                </c:pt>
                <c:pt idx="764">
                  <c:v>-10.289401296118314</c:v>
                </c:pt>
                <c:pt idx="765">
                  <c:v>-10.289402803966752</c:v>
                </c:pt>
                <c:pt idx="766">
                  <c:v>-10.289404311777222</c:v>
                </c:pt>
                <c:pt idx="767">
                  <c:v>-10.289405819549732</c:v>
                </c:pt>
                <c:pt idx="768">
                  <c:v>-10.289407327284268</c:v>
                </c:pt>
                <c:pt idx="769">
                  <c:v>-10.289408834980843</c:v>
                </c:pt>
                <c:pt idx="770">
                  <c:v>-10.289410342639457</c:v>
                </c:pt>
                <c:pt idx="771">
                  <c:v>-10.289411850260096</c:v>
                </c:pt>
                <c:pt idx="772">
                  <c:v>-10.289413357842784</c:v>
                </c:pt>
                <c:pt idx="773">
                  <c:v>-10.289414865387505</c:v>
                </c:pt>
                <c:pt idx="774">
                  <c:v>-10.289416372894262</c:v>
                </c:pt>
                <c:pt idx="775">
                  <c:v>-10.289417880363061</c:v>
                </c:pt>
                <c:pt idx="776">
                  <c:v>-10.289419387793899</c:v>
                </c:pt>
                <c:pt idx="777">
                  <c:v>-10.289420895186771</c:v>
                </c:pt>
                <c:pt idx="778">
                  <c:v>-10.289422402541692</c:v>
                </c:pt>
                <c:pt idx="779">
                  <c:v>-10.289423909858652</c:v>
                </c:pt>
                <c:pt idx="780">
                  <c:v>-10.289425417137652</c:v>
                </c:pt>
                <c:pt idx="781">
                  <c:v>-10.289426924378693</c:v>
                </c:pt>
                <c:pt idx="782">
                  <c:v>-10.289428431581785</c:v>
                </c:pt>
                <c:pt idx="783">
                  <c:v>-10.289429938746911</c:v>
                </c:pt>
                <c:pt idx="784">
                  <c:v>-10.289431445874085</c:v>
                </c:pt>
                <c:pt idx="785">
                  <c:v>-10.289432952963306</c:v>
                </c:pt>
                <c:pt idx="786">
                  <c:v>-10.289434460014576</c:v>
                </c:pt>
                <c:pt idx="787">
                  <c:v>-10.289435967027885</c:v>
                </c:pt>
                <c:pt idx="788">
                  <c:v>-10.289437474003249</c:v>
                </c:pt>
                <c:pt idx="789">
                  <c:v>-10.289438980940655</c:v>
                </c:pt>
                <c:pt idx="790">
                  <c:v>-10.289440487840112</c:v>
                </c:pt>
                <c:pt idx="791">
                  <c:v>-10.289441994701617</c:v>
                </c:pt>
                <c:pt idx="792">
                  <c:v>-10.289443501525174</c:v>
                </c:pt>
                <c:pt idx="793">
                  <c:v>-10.289445008310784</c:v>
                </c:pt>
                <c:pt idx="794">
                  <c:v>-10.289446515058446</c:v>
                </c:pt>
                <c:pt idx="795">
                  <c:v>-10.289448021768152</c:v>
                </c:pt>
                <c:pt idx="796">
                  <c:v>-10.289449528439919</c:v>
                </c:pt>
                <c:pt idx="797">
                  <c:v>-10.289451035073732</c:v>
                </c:pt>
                <c:pt idx="798">
                  <c:v>-10.289452541669604</c:v>
                </c:pt>
                <c:pt idx="799">
                  <c:v>-10.289454048227528</c:v>
                </c:pt>
                <c:pt idx="800">
                  <c:v>-10.289455554747512</c:v>
                </c:pt>
                <c:pt idx="801">
                  <c:v>-10.289457061229545</c:v>
                </c:pt>
                <c:pt idx="802">
                  <c:v>-10.289458567673636</c:v>
                </c:pt>
                <c:pt idx="803">
                  <c:v>-10.289460074079789</c:v>
                </c:pt>
                <c:pt idx="804">
                  <c:v>-10.289461580447995</c:v>
                </c:pt>
                <c:pt idx="805">
                  <c:v>-10.289463086778262</c:v>
                </c:pt>
                <c:pt idx="806">
                  <c:v>-10.289464593070591</c:v>
                </c:pt>
                <c:pt idx="807">
                  <c:v>-10.289466099324974</c:v>
                </c:pt>
                <c:pt idx="808">
                  <c:v>-10.28946760554142</c:v>
                </c:pt>
                <c:pt idx="809">
                  <c:v>-10.28946911171993</c:v>
                </c:pt>
                <c:pt idx="810">
                  <c:v>-10.289470617860504</c:v>
                </c:pt>
                <c:pt idx="811">
                  <c:v>-10.289472123963131</c:v>
                </c:pt>
                <c:pt idx="812">
                  <c:v>-10.28947363002783</c:v>
                </c:pt>
                <c:pt idx="813">
                  <c:v>-10.289475136054588</c:v>
                </c:pt>
                <c:pt idx="814">
                  <c:v>-10.289476642043407</c:v>
                </c:pt>
                <c:pt idx="815">
                  <c:v>-10.289478147994298</c:v>
                </c:pt>
                <c:pt idx="816">
                  <c:v>-10.289479653907252</c:v>
                </c:pt>
                <c:pt idx="817">
                  <c:v>-10.289481159782275</c:v>
                </c:pt>
                <c:pt idx="818">
                  <c:v>-10.289482665619367</c:v>
                </c:pt>
                <c:pt idx="819">
                  <c:v>-10.289484171418522</c:v>
                </c:pt>
                <c:pt idx="820">
                  <c:v>-10.289485677179751</c:v>
                </c:pt>
                <c:pt idx="821">
                  <c:v>-10.289487182903041</c:v>
                </c:pt>
                <c:pt idx="822">
                  <c:v>-10.289488688588404</c:v>
                </c:pt>
                <c:pt idx="823">
                  <c:v>-10.289490194235841</c:v>
                </c:pt>
                <c:pt idx="824">
                  <c:v>-10.289491699845351</c:v>
                </c:pt>
                <c:pt idx="825">
                  <c:v>-10.289493205416925</c:v>
                </c:pt>
                <c:pt idx="826">
                  <c:v>-10.289494710950574</c:v>
                </c:pt>
                <c:pt idx="827">
                  <c:v>-10.289496216446302</c:v>
                </c:pt>
                <c:pt idx="828">
                  <c:v>-10.289497721904096</c:v>
                </c:pt>
                <c:pt idx="829">
                  <c:v>-10.289499227323967</c:v>
                </c:pt>
                <c:pt idx="830">
                  <c:v>-10.289500732705914</c:v>
                </c:pt>
                <c:pt idx="831">
                  <c:v>-10.289502238049938</c:v>
                </c:pt>
                <c:pt idx="832">
                  <c:v>-10.289503743356038</c:v>
                </c:pt>
                <c:pt idx="833">
                  <c:v>-10.289505248624215</c:v>
                </c:pt>
                <c:pt idx="834">
                  <c:v>-10.289506753854473</c:v>
                </c:pt>
                <c:pt idx="835">
                  <c:v>-10.289508259046807</c:v>
                </c:pt>
                <c:pt idx="836">
                  <c:v>-10.289509764201217</c:v>
                </c:pt>
                <c:pt idx="837">
                  <c:v>-10.289511269317709</c:v>
                </c:pt>
                <c:pt idx="838">
                  <c:v>-10.289512774396286</c:v>
                </c:pt>
                <c:pt idx="839">
                  <c:v>-10.289514279436935</c:v>
                </c:pt>
                <c:pt idx="840">
                  <c:v>-10.289515784439674</c:v>
                </c:pt>
                <c:pt idx="841">
                  <c:v>-10.289517289404488</c:v>
                </c:pt>
                <c:pt idx="842">
                  <c:v>-10.289518794331393</c:v>
                </c:pt>
                <c:pt idx="843">
                  <c:v>-10.289520299220378</c:v>
                </c:pt>
                <c:pt idx="844">
                  <c:v>-10.289521804071445</c:v>
                </c:pt>
                <c:pt idx="845">
                  <c:v>-10.289523308884599</c:v>
                </c:pt>
                <c:pt idx="846">
                  <c:v>-10.289524813659844</c:v>
                </c:pt>
                <c:pt idx="847">
                  <c:v>-10.289526318397169</c:v>
                </c:pt>
                <c:pt idx="848">
                  <c:v>-10.289527823096584</c:v>
                </c:pt>
                <c:pt idx="849">
                  <c:v>-10.289529327758087</c:v>
                </c:pt>
                <c:pt idx="850">
                  <c:v>-10.289530832381676</c:v>
                </c:pt>
                <c:pt idx="851">
                  <c:v>-10.289532336967353</c:v>
                </c:pt>
                <c:pt idx="852">
                  <c:v>-10.289533841515125</c:v>
                </c:pt>
                <c:pt idx="853">
                  <c:v>-10.289535346024985</c:v>
                </c:pt>
                <c:pt idx="854">
                  <c:v>-10.289536850496928</c:v>
                </c:pt>
                <c:pt idx="855">
                  <c:v>-10.289538354930976</c:v>
                </c:pt>
                <c:pt idx="856">
                  <c:v>-10.289539859327109</c:v>
                </c:pt>
                <c:pt idx="857">
                  <c:v>-10.289541363685336</c:v>
                </c:pt>
                <c:pt idx="858">
                  <c:v>-10.289542868005661</c:v>
                </c:pt>
                <c:pt idx="859">
                  <c:v>-10.289544372288068</c:v>
                </c:pt>
                <c:pt idx="860">
                  <c:v>-10.289545876532578</c:v>
                </c:pt>
                <c:pt idx="861">
                  <c:v>-10.289547380739188</c:v>
                </c:pt>
                <c:pt idx="862">
                  <c:v>-10.289548884907891</c:v>
                </c:pt>
                <c:pt idx="863">
                  <c:v>-10.289550389038688</c:v>
                </c:pt>
                <c:pt idx="864">
                  <c:v>-10.289551893131582</c:v>
                </c:pt>
                <c:pt idx="865">
                  <c:v>-10.289553397186582</c:v>
                </c:pt>
                <c:pt idx="866">
                  <c:v>-10.289554901203681</c:v>
                </c:pt>
                <c:pt idx="867">
                  <c:v>-10.289556405182875</c:v>
                </c:pt>
                <c:pt idx="868">
                  <c:v>-10.289557909124168</c:v>
                </c:pt>
                <c:pt idx="869">
                  <c:v>-10.289559413027561</c:v>
                </c:pt>
                <c:pt idx="870">
                  <c:v>-10.289560916893059</c:v>
                </c:pt>
                <c:pt idx="871">
                  <c:v>-10.289562420720655</c:v>
                </c:pt>
                <c:pt idx="872">
                  <c:v>-10.289563924510361</c:v>
                </c:pt>
                <c:pt idx="873">
                  <c:v>-10.289565428262167</c:v>
                </c:pt>
                <c:pt idx="874">
                  <c:v>-10.289566931976079</c:v>
                </c:pt>
                <c:pt idx="875">
                  <c:v>-10.289568435652093</c:v>
                </c:pt>
                <c:pt idx="876">
                  <c:v>-10.289569939290214</c:v>
                </c:pt>
                <c:pt idx="877">
                  <c:v>-10.289571442890447</c:v>
                </c:pt>
                <c:pt idx="878">
                  <c:v>-10.289572946452779</c:v>
                </c:pt>
                <c:pt idx="879">
                  <c:v>-10.289574449977223</c:v>
                </c:pt>
                <c:pt idx="880">
                  <c:v>-10.289575953463773</c:v>
                </c:pt>
                <c:pt idx="881">
                  <c:v>-10.289577456912429</c:v>
                </c:pt>
                <c:pt idx="882">
                  <c:v>-10.289578960323199</c:v>
                </c:pt>
                <c:pt idx="883">
                  <c:v>-10.28958046369608</c:v>
                </c:pt>
                <c:pt idx="884">
                  <c:v>-10.289581967031072</c:v>
                </c:pt>
                <c:pt idx="885">
                  <c:v>-10.289583470328171</c:v>
                </c:pt>
                <c:pt idx="886">
                  <c:v>-10.289584973587388</c:v>
                </c:pt>
                <c:pt idx="887">
                  <c:v>-10.289586476808713</c:v>
                </c:pt>
                <c:pt idx="888">
                  <c:v>-10.289587979992154</c:v>
                </c:pt>
                <c:pt idx="889">
                  <c:v>-10.289589483137709</c:v>
                </c:pt>
                <c:pt idx="890">
                  <c:v>-10.289590986245376</c:v>
                </c:pt>
                <c:pt idx="891">
                  <c:v>-10.289592489315163</c:v>
                </c:pt>
                <c:pt idx="892">
                  <c:v>-10.289593992347063</c:v>
                </c:pt>
                <c:pt idx="893">
                  <c:v>-10.289595495341079</c:v>
                </c:pt>
                <c:pt idx="894">
                  <c:v>-10.289596998297219</c:v>
                </c:pt>
                <c:pt idx="895">
                  <c:v>-10.289598501215472</c:v>
                </c:pt>
                <c:pt idx="896">
                  <c:v>-10.289600004095842</c:v>
                </c:pt>
                <c:pt idx="897">
                  <c:v>-10.289601506938336</c:v>
                </c:pt>
                <c:pt idx="898">
                  <c:v>-10.289603009742949</c:v>
                </c:pt>
                <c:pt idx="899">
                  <c:v>-10.289604512509682</c:v>
                </c:pt>
                <c:pt idx="900">
                  <c:v>-10.289606015238538</c:v>
                </c:pt>
                <c:pt idx="901">
                  <c:v>-10.289607517929515</c:v>
                </c:pt>
                <c:pt idx="902">
                  <c:v>-10.289609020582617</c:v>
                </c:pt>
                <c:pt idx="903">
                  <c:v>-10.28961052319784</c:v>
                </c:pt>
                <c:pt idx="904">
                  <c:v>-10.289612025775188</c:v>
                </c:pt>
                <c:pt idx="905">
                  <c:v>-10.289613528314657</c:v>
                </c:pt>
                <c:pt idx="906">
                  <c:v>-10.289615030816256</c:v>
                </c:pt>
                <c:pt idx="907">
                  <c:v>-10.289616533279982</c:v>
                </c:pt>
                <c:pt idx="908">
                  <c:v>-10.289618035705837</c:v>
                </c:pt>
                <c:pt idx="909">
                  <c:v>-10.289619538093813</c:v>
                </c:pt>
                <c:pt idx="910">
                  <c:v>-10.289621040443915</c:v>
                </c:pt>
                <c:pt idx="911">
                  <c:v>-10.289622542756154</c:v>
                </c:pt>
                <c:pt idx="912">
                  <c:v>-10.28962404503052</c:v>
                </c:pt>
                <c:pt idx="913">
                  <c:v>-10.289625547267015</c:v>
                </c:pt>
                <c:pt idx="914">
                  <c:v>-10.28962704946564</c:v>
                </c:pt>
                <c:pt idx="915">
                  <c:v>-10.289628551626395</c:v>
                </c:pt>
                <c:pt idx="916">
                  <c:v>-10.289630053749285</c:v>
                </c:pt>
                <c:pt idx="917">
                  <c:v>-10.289631555834307</c:v>
                </c:pt>
                <c:pt idx="918">
                  <c:v>-10.289633057881462</c:v>
                </c:pt>
                <c:pt idx="919">
                  <c:v>-10.289634559890752</c:v>
                </c:pt>
                <c:pt idx="920">
                  <c:v>-10.289636061862176</c:v>
                </c:pt>
                <c:pt idx="921">
                  <c:v>-10.289637563795736</c:v>
                </c:pt>
                <c:pt idx="922">
                  <c:v>-10.289639065691428</c:v>
                </c:pt>
                <c:pt idx="923">
                  <c:v>-10.289640567549267</c:v>
                </c:pt>
                <c:pt idx="924">
                  <c:v>-10.289642069369236</c:v>
                </c:pt>
                <c:pt idx="925">
                  <c:v>-10.289643571151343</c:v>
                </c:pt>
                <c:pt idx="926">
                  <c:v>-10.289645072895588</c:v>
                </c:pt>
                <c:pt idx="927">
                  <c:v>-10.289646574601978</c:v>
                </c:pt>
                <c:pt idx="928">
                  <c:v>-10.289648076270501</c:v>
                </c:pt>
                <c:pt idx="929">
                  <c:v>-10.289649577901168</c:v>
                </c:pt>
                <c:pt idx="930">
                  <c:v>-10.289651079493979</c:v>
                </c:pt>
                <c:pt idx="931">
                  <c:v>-10.289652581048927</c:v>
                </c:pt>
                <c:pt idx="932">
                  <c:v>-10.289654082566024</c:v>
                </c:pt>
                <c:pt idx="933">
                  <c:v>-10.289655584045263</c:v>
                </c:pt>
                <c:pt idx="934">
                  <c:v>-10.289657085486638</c:v>
                </c:pt>
                <c:pt idx="935">
                  <c:v>-10.289658586890166</c:v>
                </c:pt>
                <c:pt idx="936">
                  <c:v>-10.289660088255841</c:v>
                </c:pt>
                <c:pt idx="937">
                  <c:v>-10.289661589583654</c:v>
                </c:pt>
                <c:pt idx="938">
                  <c:v>-10.289663090873621</c:v>
                </c:pt>
                <c:pt idx="939">
                  <c:v>-10.289664592125725</c:v>
                </c:pt>
                <c:pt idx="940">
                  <c:v>-10.289666093339987</c:v>
                </c:pt>
                <c:pt idx="941">
                  <c:v>-10.28966759451639</c:v>
                </c:pt>
                <c:pt idx="942">
                  <c:v>-10.289669095654949</c:v>
                </c:pt>
                <c:pt idx="943">
                  <c:v>-10.289670596755656</c:v>
                </c:pt>
                <c:pt idx="944">
                  <c:v>-10.289672097818515</c:v>
                </c:pt>
                <c:pt idx="945">
                  <c:v>-10.289673598843521</c:v>
                </c:pt>
                <c:pt idx="946">
                  <c:v>-10.289675099830683</c:v>
                </c:pt>
                <c:pt idx="947">
                  <c:v>-10.289676600779993</c:v>
                </c:pt>
                <c:pt idx="948">
                  <c:v>-10.289678101691464</c:v>
                </c:pt>
                <c:pt idx="949">
                  <c:v>-10.28967960256508</c:v>
                </c:pt>
                <c:pt idx="950">
                  <c:v>-10.289681103400858</c:v>
                </c:pt>
                <c:pt idx="951">
                  <c:v>-10.289682604198791</c:v>
                </c:pt>
                <c:pt idx="952">
                  <c:v>-10.289684104958871</c:v>
                </c:pt>
                <c:pt idx="953">
                  <c:v>-10.289685605681118</c:v>
                </c:pt>
                <c:pt idx="954">
                  <c:v>-10.289687106365516</c:v>
                </c:pt>
                <c:pt idx="955">
                  <c:v>-10.289688607012074</c:v>
                </c:pt>
                <c:pt idx="956">
                  <c:v>-10.289690107620796</c:v>
                </c:pt>
                <c:pt idx="957">
                  <c:v>-10.289691608191669</c:v>
                </c:pt>
                <c:pt idx="958">
                  <c:v>-10.289693108724705</c:v>
                </c:pt>
                <c:pt idx="959">
                  <c:v>-10.289694609219906</c:v>
                </c:pt>
                <c:pt idx="960">
                  <c:v>-10.289696109677262</c:v>
                </c:pt>
                <c:pt idx="961">
                  <c:v>-10.289697610096782</c:v>
                </c:pt>
                <c:pt idx="962">
                  <c:v>-10.289699110478464</c:v>
                </c:pt>
                <c:pt idx="963">
                  <c:v>-10.289700610822308</c:v>
                </c:pt>
                <c:pt idx="964">
                  <c:v>-10.289702111128314</c:v>
                </c:pt>
                <c:pt idx="965">
                  <c:v>-10.28970361139649</c:v>
                </c:pt>
                <c:pt idx="966">
                  <c:v>-10.289705111626834</c:v>
                </c:pt>
                <c:pt idx="967">
                  <c:v>-10.289706611819341</c:v>
                </c:pt>
                <c:pt idx="968">
                  <c:v>-10.289708111974008</c:v>
                </c:pt>
                <c:pt idx="969">
                  <c:v>-10.289709612090848</c:v>
                </c:pt>
                <c:pt idx="970">
                  <c:v>-10.289711112169851</c:v>
                </c:pt>
                <c:pt idx="971">
                  <c:v>-10.289712612211023</c:v>
                </c:pt>
                <c:pt idx="972">
                  <c:v>-10.289714112214369</c:v>
                </c:pt>
                <c:pt idx="973">
                  <c:v>-10.289715612179881</c:v>
                </c:pt>
                <c:pt idx="974">
                  <c:v>-10.289717112107567</c:v>
                </c:pt>
                <c:pt idx="975">
                  <c:v>-10.289718611997428</c:v>
                </c:pt>
                <c:pt idx="976">
                  <c:v>-10.289720111849455</c:v>
                </c:pt>
                <c:pt idx="977">
                  <c:v>-10.289721611663651</c:v>
                </c:pt>
                <c:pt idx="978">
                  <c:v>-10.289723111440024</c:v>
                </c:pt>
                <c:pt idx="979">
                  <c:v>-10.289724611178565</c:v>
                </c:pt>
                <c:pt idx="980">
                  <c:v>-10.289726110879288</c:v>
                </c:pt>
                <c:pt idx="981">
                  <c:v>-10.289727610542185</c:v>
                </c:pt>
                <c:pt idx="982">
                  <c:v>-10.289729110167251</c:v>
                </c:pt>
                <c:pt idx="983">
                  <c:v>-10.2897306097545</c:v>
                </c:pt>
                <c:pt idx="984">
                  <c:v>-10.289732109303925</c:v>
                </c:pt>
                <c:pt idx="985">
                  <c:v>-10.289733608815535</c:v>
                </c:pt>
                <c:pt idx="986">
                  <c:v>-10.289735108289314</c:v>
                </c:pt>
                <c:pt idx="987">
                  <c:v>-10.289736607725271</c:v>
                </c:pt>
                <c:pt idx="988">
                  <c:v>-10.289738107123412</c:v>
                </c:pt>
                <c:pt idx="989">
                  <c:v>-10.28973960648373</c:v>
                </c:pt>
                <c:pt idx="990">
                  <c:v>-10.289741105806231</c:v>
                </c:pt>
                <c:pt idx="991">
                  <c:v>-10.289742605090915</c:v>
                </c:pt>
                <c:pt idx="992">
                  <c:v>-10.28974410433778</c:v>
                </c:pt>
                <c:pt idx="993">
                  <c:v>-10.28974560354683</c:v>
                </c:pt>
                <c:pt idx="994">
                  <c:v>-10.28974710271806</c:v>
                </c:pt>
                <c:pt idx="995">
                  <c:v>-10.28974860185148</c:v>
                </c:pt>
                <c:pt idx="996">
                  <c:v>-10.289750100947083</c:v>
                </c:pt>
                <c:pt idx="997">
                  <c:v>-10.289751600004871</c:v>
                </c:pt>
                <c:pt idx="998">
                  <c:v>-10.289753099024843</c:v>
                </c:pt>
                <c:pt idx="999">
                  <c:v>-10.289754598007006</c:v>
                </c:pt>
                <c:pt idx="1000">
                  <c:v>-10.289756096951358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3-45DE-97F3-E9553C49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5168"/>
        <c:axId val="149577088"/>
      </c:scatterChart>
      <c:valAx>
        <c:axId val="14957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7088"/>
        <c:crosses val="autoZero"/>
        <c:crossBetween val="midCat"/>
      </c:valAx>
      <c:valAx>
        <c:axId val="14957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7E-2"/>
              <c:y val="0.297386526684164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5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95018075570744"/>
          <c:y val="0.25777777777777783"/>
          <c:w val="0.30974867528351424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249.76</c:v>
                </c:pt>
                <c:pt idx="1">
                  <c:v>249.98606828231817</c:v>
                </c:pt>
                <c:pt idx="2">
                  <c:v>250.21301243479186</c:v>
                </c:pt>
                <c:pt idx="3">
                  <c:v>250.44161547829367</c:v>
                </c:pt>
                <c:pt idx="4">
                  <c:v>250.67202008282982</c:v>
                </c:pt>
                <c:pt idx="5">
                  <c:v>250.90409064077559</c:v>
                </c:pt>
                <c:pt idx="6">
                  <c:v>251.13777621963129</c:v>
                </c:pt>
                <c:pt idx="7">
                  <c:v>251.37306826172048</c:v>
                </c:pt>
                <c:pt idx="8">
                  <c:v>251.60995817713072</c:v>
                </c:pt>
                <c:pt idx="9">
                  <c:v>251.84843734436157</c:v>
                </c:pt>
                <c:pt idx="10">
                  <c:v>252.08849711096676</c:v>
                </c:pt>
                <c:pt idx="11">
                  <c:v>252.33012879419087</c:v>
                </c:pt>
                <c:pt idx="12">
                  <c:v>252.57332368160061</c:v>
                </c:pt>
                <c:pt idx="13">
                  <c:v>252.81807303171041</c:v>
                </c:pt>
                <c:pt idx="14">
                  <c:v>253.06436807460281</c:v>
                </c:pt>
                <c:pt idx="15">
                  <c:v>253.31220001254349</c:v>
                </c:pt>
                <c:pt idx="16">
                  <c:v>253.56156002059103</c:v>
                </c:pt>
                <c:pt idx="17">
                  <c:v>253.8124392472015</c:v>
                </c:pt>
                <c:pt idx="18">
                  <c:v>254.06482881482779</c:v>
                </c:pt>
                <c:pt idx="19">
                  <c:v>254.31871982051396</c:v>
                </c:pt>
                <c:pt idx="20">
                  <c:v>254.5741033364844</c:v>
                </c:pt>
                <c:pt idx="21">
                  <c:v>254.83097041072813</c:v>
                </c:pt>
                <c:pt idx="22">
                  <c:v>255.08931206757788</c:v>
                </c:pt>
                <c:pt idx="23">
                  <c:v>255.34911930828443</c:v>
                </c:pt>
                <c:pt idx="24">
                  <c:v>255.61038311158595</c:v>
                </c:pt>
                <c:pt idx="25">
                  <c:v>255.87309443427239</c:v>
                </c:pt>
                <c:pt idx="26">
                  <c:v>256.13724421174516</c:v>
                </c:pt>
                <c:pt idx="27">
                  <c:v>256.40282335857182</c:v>
                </c:pt>
                <c:pt idx="28">
                  <c:v>256.66982276903616</c:v>
                </c:pt>
                <c:pt idx="29">
                  <c:v>256.93823331768328</c:v>
                </c:pt>
                <c:pt idx="30">
                  <c:v>257.20804585986002</c:v>
                </c:pt>
                <c:pt idx="31">
                  <c:v>257.4792512322507</c:v>
                </c:pt>
                <c:pt idx="32">
                  <c:v>257.75184025340815</c:v>
                </c:pt>
                <c:pt idx="33">
                  <c:v>258.02580372427991</c:v>
                </c:pt>
                <c:pt idx="34">
                  <c:v>258.30113242872983</c:v>
                </c:pt>
                <c:pt idx="35">
                  <c:v>258.57781713405507</c:v>
                </c:pt>
                <c:pt idx="36">
                  <c:v>258.85584859149839</c:v>
                </c:pt>
                <c:pt idx="37">
                  <c:v>259.13521753675576</c:v>
                </c:pt>
                <c:pt idx="38">
                  <c:v>259.41591469047944</c:v>
                </c:pt>
                <c:pt idx="39">
                  <c:v>259.69793075877635</c:v>
                </c:pt>
                <c:pt idx="40">
                  <c:v>259.98125643370201</c:v>
                </c:pt>
                <c:pt idx="41">
                  <c:v>260.26588239374973</c:v>
                </c:pt>
                <c:pt idx="42">
                  <c:v>260.5517993043353</c:v>
                </c:pt>
                <c:pt idx="43">
                  <c:v>260.83899781827705</c:v>
                </c:pt>
                <c:pt idx="44">
                  <c:v>261.12746857627144</c:v>
                </c:pt>
                <c:pt idx="45">
                  <c:v>261.41720220736414</c:v>
                </c:pt>
                <c:pt idx="46">
                  <c:v>261.70818932941643</c:v>
                </c:pt>
                <c:pt idx="47">
                  <c:v>262.00042054956714</c:v>
                </c:pt>
                <c:pt idx="48">
                  <c:v>262.2938864646901</c:v>
                </c:pt>
                <c:pt idx="49">
                  <c:v>262.58857766184707</c:v>
                </c:pt>
                <c:pt idx="50">
                  <c:v>262.88448471873613</c:v>
                </c:pt>
                <c:pt idx="51">
                  <c:v>263.18159820413553</c:v>
                </c:pt>
                <c:pt idx="52">
                  <c:v>263.47990867834318</c:v>
                </c:pt>
                <c:pt idx="53">
                  <c:v>263.77940669361163</c:v>
                </c:pt>
                <c:pt idx="54">
                  <c:v>264.08008279457835</c:v>
                </c:pt>
                <c:pt idx="55">
                  <c:v>264.3819275186919</c:v>
                </c:pt>
                <c:pt idx="56">
                  <c:v>264.68493139663337</c:v>
                </c:pt>
                <c:pt idx="57">
                  <c:v>264.98908495273338</c:v>
                </c:pt>
                <c:pt idx="58">
                  <c:v>265.29437870538476</c:v>
                </c:pt>
                <c:pt idx="59">
                  <c:v>265.60080316745081</c:v>
                </c:pt>
                <c:pt idx="60">
                  <c:v>265.90834884666884</c:v>
                </c:pt>
                <c:pt idx="61">
                  <c:v>266.21700624604961</c:v>
                </c:pt>
                <c:pt idx="62">
                  <c:v>266.52676586427214</c:v>
                </c:pt>
                <c:pt idx="63">
                  <c:v>266.83761432252544</c:v>
                </c:pt>
                <c:pt idx="64">
                  <c:v>267.1495304891327</c:v>
                </c:pt>
                <c:pt idx="65">
                  <c:v>267.46248935704352</c:v>
                </c:pt>
                <c:pt idx="66">
                  <c:v>267.77646592398725</c:v>
                </c:pt>
                <c:pt idx="67">
                  <c:v>268.09143163263286</c:v>
                </c:pt>
                <c:pt idx="68">
                  <c:v>268.40735080943523</c:v>
                </c:pt>
                <c:pt idx="69">
                  <c:v>268.7241778889271</c:v>
                </c:pt>
                <c:pt idx="70">
                  <c:v>269.04185463864258</c:v>
                </c:pt>
                <c:pt idx="71">
                  <c:v>269.36031651411179</c:v>
                </c:pt>
                <c:pt idx="72">
                  <c:v>269.679499016433</c:v>
                </c:pt>
                <c:pt idx="73">
                  <c:v>269.99933769726402</c:v>
                </c:pt>
                <c:pt idx="74">
                  <c:v>270.31976816365972</c:v>
                </c:pt>
                <c:pt idx="75">
                  <c:v>270.64072608275609</c:v>
                </c:pt>
                <c:pt idx="76">
                  <c:v>270.96214718630119</c:v>
                </c:pt>
                <c:pt idx="77">
                  <c:v>271.28396727503264</c:v>
                </c:pt>
                <c:pt idx="78">
                  <c:v>271.60612222290257</c:v>
                </c:pt>
                <c:pt idx="79">
                  <c:v>271.92854798115019</c:v>
                </c:pt>
                <c:pt idx="80">
                  <c:v>272.25118058222205</c:v>
                </c:pt>
                <c:pt idx="81">
                  <c:v>272.57396374607112</c:v>
                </c:pt>
                <c:pt idx="82">
                  <c:v>272.89685648021845</c:v>
                </c:pt>
                <c:pt idx="83">
                  <c:v>273.21982545750478</c:v>
                </c:pt>
                <c:pt idx="84">
                  <c:v>273.54283739856527</c:v>
                </c:pt>
                <c:pt idx="85">
                  <c:v>273.86585907262486</c:v>
                </c:pt>
                <c:pt idx="86">
                  <c:v>274.18885729825342</c:v>
                </c:pt>
                <c:pt idx="87">
                  <c:v>274.51179894408034</c:v>
                </c:pt>
                <c:pt idx="88">
                  <c:v>274.83465092946949</c:v>
                </c:pt>
                <c:pt idx="89">
                  <c:v>275.15738263822772</c:v>
                </c:pt>
                <c:pt idx="90">
                  <c:v>275.47996832973212</c:v>
                </c:pt>
                <c:pt idx="91">
                  <c:v>275.80238471831007</c:v>
                </c:pt>
                <c:pt idx="92">
                  <c:v>276.12460855495272</c:v>
                </c:pt>
                <c:pt idx="93">
                  <c:v>276.44661723215603</c:v>
                </c:pt>
                <c:pt idx="94">
                  <c:v>276.76838938805793</c:v>
                </c:pt>
                <c:pt idx="95">
                  <c:v>277.08990429977058</c:v>
                </c:pt>
                <c:pt idx="96">
                  <c:v>277.41114127735403</c:v>
                </c:pt>
                <c:pt idx="97">
                  <c:v>277.73208208808222</c:v>
                </c:pt>
                <c:pt idx="98">
                  <c:v>278.05271337779374</c:v>
                </c:pt>
                <c:pt idx="99">
                  <c:v>278.37302423811587</c:v>
                </c:pt>
                <c:pt idx="100">
                  <c:v>278.69300377653713</c:v>
                </c:pt>
                <c:pt idx="101">
                  <c:v>279.01264111630417</c:v>
                </c:pt>
                <c:pt idx="102">
                  <c:v>279.33192539631489</c:v>
                </c:pt>
                <c:pt idx="103">
                  <c:v>279.65084577100822</c:v>
                </c:pt>
                <c:pt idx="104">
                  <c:v>279.96939141025013</c:v>
                </c:pt>
                <c:pt idx="105">
                  <c:v>280.28755149921608</c:v>
                </c:pt>
                <c:pt idx="106">
                  <c:v>280.60531523827024</c:v>
                </c:pt>
                <c:pt idx="107">
                  <c:v>280.92267184284077</c:v>
                </c:pt>
                <c:pt idx="108">
                  <c:v>281.23961054329214</c:v>
                </c:pt>
                <c:pt idx="109">
                  <c:v>281.55612363485687</c:v>
                </c:pt>
                <c:pt idx="110">
                  <c:v>281.87220952376492</c:v>
                </c:pt>
                <c:pt idx="111">
                  <c:v>282.18786966627374</c:v>
                </c:pt>
                <c:pt idx="112">
                  <c:v>282.50310551158947</c:v>
                </c:pt>
                <c:pt idx="113">
                  <c:v>282.8179185019132</c:v>
                </c:pt>
                <c:pt idx="114">
                  <c:v>283.13231007248692</c:v>
                </c:pt>
                <c:pt idx="115">
                  <c:v>283.44628165163908</c:v>
                </c:pt>
                <c:pt idx="116">
                  <c:v>283.75983466082965</c:v>
                </c:pt>
                <c:pt idx="117">
                  <c:v>284.0729705146951</c:v>
                </c:pt>
                <c:pt idx="118">
                  <c:v>284.38569062109269</c:v>
                </c:pt>
                <c:pt idx="119">
                  <c:v>284.69799638114455</c:v>
                </c:pt>
                <c:pt idx="120">
                  <c:v>285.00988918928147</c:v>
                </c:pt>
                <c:pt idx="121">
                  <c:v>285.32137043328623</c:v>
                </c:pt>
                <c:pt idx="122">
                  <c:v>285.6324414943366</c:v>
                </c:pt>
                <c:pt idx="123">
                  <c:v>285.94310374704799</c:v>
                </c:pt>
                <c:pt idx="124">
                  <c:v>286.25335855951573</c:v>
                </c:pt>
                <c:pt idx="125">
                  <c:v>286.56320729335715</c:v>
                </c:pt>
                <c:pt idx="126">
                  <c:v>286.87265130375306</c:v>
                </c:pt>
                <c:pt idx="127">
                  <c:v>287.18169193948927</c:v>
                </c:pt>
                <c:pt idx="128">
                  <c:v>287.49033054299736</c:v>
                </c:pt>
                <c:pt idx="129">
                  <c:v>287.79856845039541</c:v>
                </c:pt>
                <c:pt idx="130">
                  <c:v>288.10640699152822</c:v>
                </c:pt>
                <c:pt idx="131">
                  <c:v>288.41384749000753</c:v>
                </c:pt>
                <c:pt idx="132">
                  <c:v>288.72089126325142</c:v>
                </c:pt>
                <c:pt idx="133">
                  <c:v>289.02753962252382</c:v>
                </c:pt>
                <c:pt idx="134">
                  <c:v>289.33379387297356</c:v>
                </c:pt>
                <c:pt idx="135">
                  <c:v>289.63965531367307</c:v>
                </c:pt>
                <c:pt idx="136">
                  <c:v>289.94512523765684</c:v>
                </c:pt>
                <c:pt idx="137">
                  <c:v>290.25020493195944</c:v>
                </c:pt>
                <c:pt idx="138">
                  <c:v>290.55489567765352</c:v>
                </c:pt>
                <c:pt idx="139">
                  <c:v>290.85919874988713</c:v>
                </c:pt>
                <c:pt idx="140">
                  <c:v>291.16311541792118</c:v>
                </c:pt>
                <c:pt idx="141">
                  <c:v>291.46664694516619</c:v>
                </c:pt>
                <c:pt idx="142">
                  <c:v>291.76979458921903</c:v>
                </c:pt>
                <c:pt idx="143">
                  <c:v>292.07255960189923</c:v>
                </c:pt>
                <c:pt idx="144">
                  <c:v>292.37494322928507</c:v>
                </c:pt>
                <c:pt idx="145">
                  <c:v>292.67694671174945</c:v>
                </c:pt>
                <c:pt idx="146">
                  <c:v>292.97857128399534</c:v>
                </c:pt>
                <c:pt idx="147">
                  <c:v>293.27981817509095</c:v>
                </c:pt>
                <c:pt idx="148">
                  <c:v>293.58068860850489</c:v>
                </c:pt>
                <c:pt idx="149">
                  <c:v>293.88118380214058</c:v>
                </c:pt>
                <c:pt idx="150">
                  <c:v>294.18130496837102</c:v>
                </c:pt>
                <c:pt idx="151">
                  <c:v>294.4810533140726</c:v>
                </c:pt>
                <c:pt idx="152">
                  <c:v>294.78043004065927</c:v>
                </c:pt>
                <c:pt idx="153">
                  <c:v>295.079436344116</c:v>
                </c:pt>
                <c:pt idx="154">
                  <c:v>295.37807341503225</c:v>
                </c:pt>
                <c:pt idx="155">
                  <c:v>295.67634243863506</c:v>
                </c:pt>
                <c:pt idx="156">
                  <c:v>295.97424459482193</c:v>
                </c:pt>
                <c:pt idx="157">
                  <c:v>296.27178105819337</c:v>
                </c:pt>
                <c:pt idx="158">
                  <c:v>296.56895299808536</c:v>
                </c:pt>
                <c:pt idx="159">
                  <c:v>296.86576157860139</c:v>
                </c:pt>
                <c:pt idx="160">
                  <c:v>297.16220795864433</c:v>
                </c:pt>
                <c:pt idx="161">
                  <c:v>297.45829329194811</c:v>
                </c:pt>
                <c:pt idx="162">
                  <c:v>297.75401872710904</c:v>
                </c:pt>
                <c:pt idx="163">
                  <c:v>298.04938540761708</c:v>
                </c:pt>
                <c:pt idx="164">
                  <c:v>298.34439447188657</c:v>
                </c:pt>
                <c:pt idx="165">
                  <c:v>298.63904705328707</c:v>
                </c:pt>
                <c:pt idx="166">
                  <c:v>298.9333442801738</c:v>
                </c:pt>
                <c:pt idx="167">
                  <c:v>299.22728727591766</c:v>
                </c:pt>
                <c:pt idx="168">
                  <c:v>299.52087715893549</c:v>
                </c:pt>
                <c:pt idx="169">
                  <c:v>299.81411504271972</c:v>
                </c:pt>
                <c:pt idx="170">
                  <c:v>300.10700203586777</c:v>
                </c:pt>
                <c:pt idx="171">
                  <c:v>300.39953924211164</c:v>
                </c:pt>
                <c:pt idx="172">
                  <c:v>300.69172776034679</c:v>
                </c:pt>
                <c:pt idx="173">
                  <c:v>300.98356868466118</c:v>
                </c:pt>
                <c:pt idx="174">
                  <c:v>301.27506310436377</c:v>
                </c:pt>
                <c:pt idx="175">
                  <c:v>301.56621210401312</c:v>
                </c:pt>
                <c:pt idx="176">
                  <c:v>301.85701676344553</c:v>
                </c:pt>
                <c:pt idx="177">
                  <c:v>302.14747815780322</c:v>
                </c:pt>
                <c:pt idx="178">
                  <c:v>302.43759735756191</c:v>
                </c:pt>
                <c:pt idx="179">
                  <c:v>302.72737542855873</c:v>
                </c:pt>
                <c:pt idx="180">
                  <c:v>303.01681343201932</c:v>
                </c:pt>
                <c:pt idx="181">
                  <c:v>303.30591242458536</c:v>
                </c:pt>
                <c:pt idx="182">
                  <c:v>303.59467345834133</c:v>
                </c:pt>
                <c:pt idx="183">
                  <c:v>303.88309758084142</c:v>
                </c:pt>
                <c:pt idx="184">
                  <c:v>304.17118583513621</c:v>
                </c:pt>
                <c:pt idx="185">
                  <c:v>304.45893925979897</c:v>
                </c:pt>
                <c:pt idx="186">
                  <c:v>304.74635888895187</c:v>
                </c:pt>
                <c:pt idx="187">
                  <c:v>305.03344575229221</c:v>
                </c:pt>
                <c:pt idx="188">
                  <c:v>305.32020087511808</c:v>
                </c:pt>
                <c:pt idx="189">
                  <c:v>305.60662527835399</c:v>
                </c:pt>
                <c:pt idx="190">
                  <c:v>305.89271997857657</c:v>
                </c:pt>
                <c:pt idx="191">
                  <c:v>306.17848598803954</c:v>
                </c:pt>
                <c:pt idx="192">
                  <c:v>306.46392431469911</c:v>
                </c:pt>
                <c:pt idx="193">
                  <c:v>306.74903596223862</c:v>
                </c:pt>
                <c:pt idx="194">
                  <c:v>307.0338219300935</c:v>
                </c:pt>
                <c:pt idx="195">
                  <c:v>307.31828321347575</c:v>
                </c:pt>
                <c:pt idx="196">
                  <c:v>307.60242080339822</c:v>
                </c:pt>
                <c:pt idx="197">
                  <c:v>307.88623568669897</c:v>
                </c:pt>
                <c:pt idx="198">
                  <c:v>308.16972884606525</c:v>
                </c:pt>
                <c:pt idx="199">
                  <c:v>308.45290126005727</c:v>
                </c:pt>
                <c:pt idx="200">
                  <c:v>308.73575390313204</c:v>
                </c:pt>
                <c:pt idx="201">
                  <c:v>311.54676809189755</c:v>
                </c:pt>
                <c:pt idx="202">
                  <c:v>314.32642912609884</c:v>
                </c:pt>
                <c:pt idx="203">
                  <c:v>317.07567436121542</c:v>
                </c:pt>
                <c:pt idx="204">
                  <c:v>319.79540302279918</c:v>
                </c:pt>
                <c:pt idx="205">
                  <c:v>322.48647830835705</c:v>
                </c:pt>
                <c:pt idx="206">
                  <c:v>325.14972934609784</c:v>
                </c:pt>
                <c:pt idx="207">
                  <c:v>327.78595302214762</c:v>
                </c:pt>
                <c:pt idx="208">
                  <c:v>330.39591568674939</c:v>
                </c:pt>
                <c:pt idx="209">
                  <c:v>332.98035474899262</c:v>
                </c:pt>
                <c:pt idx="210">
                  <c:v>335.53998016874681</c:v>
                </c:pt>
                <c:pt idx="211">
                  <c:v>338.07547585369349</c:v>
                </c:pt>
                <c:pt idx="212">
                  <c:v>340.58750096864975</c:v>
                </c:pt>
                <c:pt idx="213">
                  <c:v>343.07669116374575</c:v>
                </c:pt>
                <c:pt idx="214">
                  <c:v>345.54365972745057</c:v>
                </c:pt>
                <c:pt idx="215">
                  <c:v>347.98899866992866</c:v>
                </c:pt>
                <c:pt idx="216">
                  <c:v>350.41327974174567</c:v>
                </c:pt>
                <c:pt idx="217">
                  <c:v>352.81705539252454</c:v>
                </c:pt>
                <c:pt idx="218">
                  <c:v>355.20085967377287</c:v>
                </c:pt>
                <c:pt idx="219">
                  <c:v>357.56520908975921</c:v>
                </c:pt>
                <c:pt idx="220">
                  <c:v>359.91060340000388</c:v>
                </c:pt>
                <c:pt idx="221">
                  <c:v>362.23752637666558</c:v>
                </c:pt>
                <c:pt idx="222">
                  <c:v>364.54644651984813</c:v>
                </c:pt>
                <c:pt idx="223">
                  <c:v>366.83781773361466</c:v>
                </c:pt>
                <c:pt idx="224">
                  <c:v>369.11207996528378</c:v>
                </c:pt>
                <c:pt idx="225">
                  <c:v>371.36965981038543</c:v>
                </c:pt>
                <c:pt idx="226">
                  <c:v>373.61097108547494</c:v>
                </c:pt>
                <c:pt idx="227">
                  <c:v>375.83641537084065</c:v>
                </c:pt>
                <c:pt idx="228">
                  <c:v>378.04638252498978</c:v>
                </c:pt>
                <c:pt idx="229">
                  <c:v>380.24125117265953</c:v>
                </c:pt>
                <c:pt idx="230">
                  <c:v>382.42138916797501</c:v>
                </c:pt>
                <c:pt idx="231">
                  <c:v>384.58715403425799</c:v>
                </c:pt>
                <c:pt idx="232">
                  <c:v>386.7388933818853</c:v>
                </c:pt>
                <c:pt idx="233">
                  <c:v>388.87694530549624</c:v>
                </c:pt>
                <c:pt idx="234">
                  <c:v>391.00163876175816</c:v>
                </c:pt>
                <c:pt idx="235">
                  <c:v>393.11329392881657</c:v>
                </c:pt>
                <c:pt idx="236">
                  <c:v>395.21222254847731</c:v>
                </c:pt>
                <c:pt idx="237">
                  <c:v>397.29872825209884</c:v>
                </c:pt>
                <c:pt idx="238">
                  <c:v>399.37310687110539</c:v>
                </c:pt>
                <c:pt idx="239">
                  <c:v>401.43564673297124</c:v>
                </c:pt>
                <c:pt idx="240">
                  <c:v>403.48662894346955</c:v>
                </c:pt>
                <c:pt idx="241">
                  <c:v>405.52632765592642</c:v>
                </c:pt>
                <c:pt idx="242">
                  <c:v>407.55501032817216</c:v>
                </c:pt>
                <c:pt idx="243">
                  <c:v>409.57293796783631</c:v>
                </c:pt>
                <c:pt idx="244">
                  <c:v>411.58036536658989</c:v>
                </c:pt>
                <c:pt idx="245">
                  <c:v>413.57754132389988</c:v>
                </c:pt>
                <c:pt idx="246">
                  <c:v>415.56470886082292</c:v>
                </c:pt>
                <c:pt idx="247">
                  <c:v>417.54210542433111</c:v>
                </c:pt>
                <c:pt idx="248">
                  <c:v>419.50996308263052</c:v>
                </c:pt>
                <c:pt idx="249">
                  <c:v>421.4685087119019</c:v>
                </c:pt>
                <c:pt idx="250">
                  <c:v>423.41796417486472</c:v>
                </c:pt>
                <c:pt idx="251">
                  <c:v>425.35854649153879</c:v>
                </c:pt>
                <c:pt idx="252">
                  <c:v>427.29046800255151</c:v>
                </c:pt>
                <c:pt idx="253">
                  <c:v>429.21393652531498</c:v>
                </c:pt>
                <c:pt idx="254">
                  <c:v>431.1291555033734</c:v>
                </c:pt>
                <c:pt idx="255">
                  <c:v>433.03632414919946</c:v>
                </c:pt>
                <c:pt idx="256">
                  <c:v>434.93563758069706</c:v>
                </c:pt>
                <c:pt idx="257">
                  <c:v>436.82728695164707</c:v>
                </c:pt>
                <c:pt idx="258">
                  <c:v>438.71145957631251</c:v>
                </c:pt>
                <c:pt idx="259">
                  <c:v>440.58833904840083</c:v>
                </c:pt>
                <c:pt idx="260">
                  <c:v>442.45810535456167</c:v>
                </c:pt>
                <c:pt idx="261">
                  <c:v>444.3209349825791</c:v>
                </c:pt>
                <c:pt idx="262">
                  <c:v>446.17700102439937</c:v>
                </c:pt>
                <c:pt idx="263">
                  <c:v>448.02647327411603</c:v>
                </c:pt>
                <c:pt idx="264">
                  <c:v>449.86951832101539</c:v>
                </c:pt>
                <c:pt idx="265">
                  <c:v>451.70629963776634</c:v>
                </c:pt>
                <c:pt idx="266">
                  <c:v>453.53697766381805</c:v>
                </c:pt>
                <c:pt idx="267">
                  <c:v>455.36170988404933</c:v>
                </c:pt>
                <c:pt idx="268">
                  <c:v>457.18065090269192</c:v>
                </c:pt>
                <c:pt idx="269">
                  <c:v>458.99395251252713</c:v>
                </c:pt>
                <c:pt idx="270">
                  <c:v>460.80176375933235</c:v>
                </c:pt>
                <c:pt idx="271">
                  <c:v>462.60423100152792</c:v>
                </c:pt>
                <c:pt idx="272">
                  <c:v>464.40149796494836</c:v>
                </c:pt>
                <c:pt idx="273">
                  <c:v>466.19370579263233</c:v>
                </c:pt>
                <c:pt idx="274">
                  <c:v>467.98099308949492</c:v>
                </c:pt>
                <c:pt idx="275">
                  <c:v>469.76349596171065</c:v>
                </c:pt>
                <c:pt idx="276">
                  <c:v>471.54134805059886</c:v>
                </c:pt>
                <c:pt idx="277">
                  <c:v>473.31468056076255</c:v>
                </c:pt>
                <c:pt idx="278">
                  <c:v>475.08362228218692</c:v>
                </c:pt>
                <c:pt idx="279">
                  <c:v>476.84829960595516</c:v>
                </c:pt>
                <c:pt idx="280">
                  <c:v>478.60883653318695</c:v>
                </c:pt>
                <c:pt idx="281">
                  <c:v>480.36535467674668</c:v>
                </c:pt>
                <c:pt idx="282">
                  <c:v>482.117973255207</c:v>
                </c:pt>
                <c:pt idx="283">
                  <c:v>483.86680907848671</c:v>
                </c:pt>
                <c:pt idx="284">
                  <c:v>485.61197652451062</c:v>
                </c:pt>
                <c:pt idx="285">
                  <c:v>487.35358750616649</c:v>
                </c:pt>
                <c:pt idx="286">
                  <c:v>489.09175142775774</c:v>
                </c:pt>
                <c:pt idx="287">
                  <c:v>490.82657513007575</c:v>
                </c:pt>
                <c:pt idx="288">
                  <c:v>492.55816282314584</c:v>
                </c:pt>
                <c:pt idx="289">
                  <c:v>494.28661600563817</c:v>
                </c:pt>
                <c:pt idx="290">
                  <c:v>496.01203336988993</c:v>
                </c:pt>
                <c:pt idx="291">
                  <c:v>497.73451069146387</c:v>
                </c:pt>
                <c:pt idx="292">
                  <c:v>499.45414070218595</c:v>
                </c:pt>
                <c:pt idx="293">
                  <c:v>501.17101294567385</c:v>
                </c:pt>
                <c:pt idx="294">
                  <c:v>502.88521361451126</c:v>
                </c:pt>
                <c:pt idx="295">
                  <c:v>504.59682536846037</c:v>
                </c:pt>
                <c:pt idx="296">
                  <c:v>506.30592713346505</c:v>
                </c:pt>
                <c:pt idx="297">
                  <c:v>508.01259388170655</c:v>
                </c:pt>
                <c:pt idx="298">
                  <c:v>509.71689639365979</c:v>
                </c:pt>
                <c:pt idx="299">
                  <c:v>511.41890100397842</c:v>
                </c:pt>
                <c:pt idx="300">
                  <c:v>513.11866933412125</c:v>
                </c:pt>
                <c:pt idx="301">
                  <c:v>514.8162580159011</c:v>
                </c:pt>
                <c:pt idx="302">
                  <c:v>516.51171841154087</c:v>
                </c:pt>
                <c:pt idx="303">
                  <c:v>518.20509633727534</c:v>
                </c:pt>
                <c:pt idx="304">
                  <c:v>519.89643179889322</c:v>
                </c:pt>
                <c:pt idx="305">
                  <c:v>521.58575874870905</c:v>
                </c:pt>
                <c:pt idx="306">
                  <c:v>523.27310487407067</c:v>
                </c:pt>
                <c:pt idx="307">
                  <c:v>524.95849142746761</c:v>
                </c:pt>
                <c:pt idx="308">
                  <c:v>526.64193310745384</c:v>
                </c:pt>
                <c:pt idx="309">
                  <c:v>528.32343799789692</c:v>
                </c:pt>
                <c:pt idx="310">
                  <c:v>530.00300757059063</c:v>
                </c:pt>
                <c:pt idx="311">
                  <c:v>531.68063675323992</c:v>
                </c:pt>
                <c:pt idx="312">
                  <c:v>533.35631406156301</c:v>
                </c:pt>
                <c:pt idx="313">
                  <c:v>535.03002179112571</c:v>
                </c:pt>
                <c:pt idx="314">
                  <c:v>536.70173626187125</c:v>
                </c:pt>
                <c:pt idx="315">
                  <c:v>538.37142810638261</c:v>
                </c:pt>
                <c:pt idx="316">
                  <c:v>540.03906259184191</c:v>
                </c:pt>
                <c:pt idx="317">
                  <c:v>541.70459996541786</c:v>
                </c:pt>
                <c:pt idx="318">
                  <c:v>543.36799581329421</c:v>
                </c:pt>
                <c:pt idx="319">
                  <c:v>545.02920142456969</c:v>
                </c:pt>
                <c:pt idx="320">
                  <c:v>546.68816415260028</c:v>
                </c:pt>
                <c:pt idx="321">
                  <c:v>548.34482776783136</c:v>
                </c:pt>
                <c:pt idx="322">
                  <c:v>549.99913279762791</c:v>
                </c:pt>
                <c:pt idx="323">
                  <c:v>551.65101684994772</c:v>
                </c:pt>
                <c:pt idx="324">
                  <c:v>553.300414918858</c:v>
                </c:pt>
                <c:pt idx="325">
                  <c:v>554.9472596708456</c:v>
                </c:pt>
                <c:pt idx="326">
                  <c:v>556.59148171161382</c:v>
                </c:pt>
                <c:pt idx="327">
                  <c:v>558.23300983361594</c:v>
                </c:pt>
                <c:pt idx="328">
                  <c:v>559.87177124497134</c:v>
                </c:pt>
                <c:pt idx="329">
                  <c:v>561.50769178067537</c:v>
                </c:pt>
                <c:pt idx="330">
                  <c:v>563.14069609717296</c:v>
                </c:pt>
                <c:pt idx="331">
                  <c:v>564.77070785144883</c:v>
                </c:pt>
                <c:pt idx="332">
                  <c:v>566.39764986581019</c:v>
                </c:pt>
                <c:pt idx="333">
                  <c:v>568.02144427951953</c:v>
                </c:pt>
                <c:pt idx="334">
                  <c:v>569.64201268839167</c:v>
                </c:pt>
                <c:pt idx="335">
                  <c:v>571.25927627340593</c:v>
                </c:pt>
                <c:pt idx="336">
                  <c:v>572.8731559193119</c:v>
                </c:pt>
                <c:pt idx="337">
                  <c:v>574.48357232413241</c:v>
                </c:pt>
                <c:pt idx="338">
                  <c:v>576.09044610038825</c:v>
                </c:pt>
                <c:pt idx="339">
                  <c:v>577.69369786879611</c:v>
                </c:pt>
                <c:pt idx="340">
                  <c:v>579.29324834511817</c:v>
                </c:pt>
                <c:pt idx="341">
                  <c:v>580.88901842077689</c:v>
                </c:pt>
                <c:pt idx="342">
                  <c:v>582.48092923778461</c:v>
                </c:pt>
                <c:pt idx="343">
                  <c:v>584.06890225848338</c:v>
                </c:pt>
                <c:pt idx="344">
                  <c:v>585.65285933053747</c:v>
                </c:pt>
                <c:pt idx="345">
                  <c:v>587.23272274757596</c:v>
                </c:pt>
                <c:pt idx="346">
                  <c:v>588.80841530584019</c:v>
                </c:pt>
                <c:pt idx="347">
                  <c:v>590.37986035715426</c:v>
                </c:pt>
                <c:pt idx="348">
                  <c:v>591.94698185850325</c:v>
                </c:pt>
                <c:pt idx="349">
                  <c:v>593.50970441847369</c:v>
                </c:pt>
                <c:pt idx="350">
                  <c:v>595.06795334078561</c:v>
                </c:pt>
                <c:pt idx="351">
                  <c:v>596.62165466511965</c:v>
                </c:pt>
                <c:pt idx="352">
                  <c:v>598.17073520542488</c:v>
                </c:pt>
                <c:pt idx="353">
                  <c:v>599.7151225858712</c:v>
                </c:pt>
                <c:pt idx="354">
                  <c:v>601.25474527459664</c:v>
                </c:pt>
                <c:pt idx="355">
                  <c:v>602.78953261538254</c:v>
                </c:pt>
                <c:pt idx="356">
                  <c:v>604.31941485737912</c:v>
                </c:pt>
                <c:pt idx="357">
                  <c:v>605.84432318299059</c:v>
                </c:pt>
                <c:pt idx="358">
                  <c:v>607.36418973401885</c:v>
                </c:pt>
                <c:pt idx="359">
                  <c:v>608.8789476361577</c:v>
                </c:pt>
                <c:pt idx="360">
                  <c:v>610.38853102191831</c:v>
                </c:pt>
                <c:pt idx="361">
                  <c:v>611.89287505206244</c:v>
                </c:pt>
                <c:pt idx="362">
                  <c:v>613.39191593561122</c:v>
                </c:pt>
                <c:pt idx="363">
                  <c:v>614.88559094849393</c:v>
                </c:pt>
                <c:pt idx="364">
                  <c:v>616.373838450893</c:v>
                </c:pt>
                <c:pt idx="365">
                  <c:v>617.85659790334159</c:v>
                </c:pt>
                <c:pt idx="366">
                  <c:v>619.33380988162037</c:v>
                </c:pt>
                <c:pt idx="367">
                  <c:v>620.8054160905026</c:v>
                </c:pt>
                <c:pt idx="368">
                  <c:v>622.27135937638786</c:v>
                </c:pt>
                <c:pt idx="369">
                  <c:v>623.7315837388669</c:v>
                </c:pt>
                <c:pt idx="370">
                  <c:v>625.18603434125305</c:v>
                </c:pt>
                <c:pt idx="371">
                  <c:v>626.63465752011768</c:v>
                </c:pt>
                <c:pt idx="372">
                  <c:v>628.07740079386156</c:v>
                </c:pt>
                <c:pt idx="373">
                  <c:v>629.51421287035487</c:v>
                </c:pt>
                <c:pt idx="374">
                  <c:v>630.94504365367482</c:v>
                </c:pt>
                <c:pt idx="375">
                  <c:v>632.36984424997024</c:v>
                </c:pt>
                <c:pt idx="376">
                  <c:v>633.78856697248057</c:v>
                </c:pt>
                <c:pt idx="377">
                  <c:v>635.20116534573492</c:v>
                </c:pt>
                <c:pt idx="378">
                  <c:v>636.60759410895685</c:v>
                </c:pt>
                <c:pt idx="379">
                  <c:v>638.0078092186983</c:v>
                </c:pt>
                <c:pt idx="380">
                  <c:v>639.40176785072765</c:v>
                </c:pt>
                <c:pt idx="381">
                  <c:v>640.78942840119271</c:v>
                </c:pt>
                <c:pt idx="382">
                  <c:v>642.17075048708227</c:v>
                </c:pt>
                <c:pt idx="383">
                  <c:v>643.54569494600628</c:v>
                </c:pt>
                <c:pt idx="384">
                  <c:v>644.91422383531653</c:v>
                </c:pt>
                <c:pt idx="385">
                  <c:v>646.27630043058775</c:v>
                </c:pt>
                <c:pt idx="386">
                  <c:v>647.63188922347854</c:v>
                </c:pt>
                <c:pt idx="387">
                  <c:v>648.98095591899255</c:v>
                </c:pt>
                <c:pt idx="388">
                  <c:v>650.32346743215783</c:v>
                </c:pt>
                <c:pt idx="389">
                  <c:v>651.65939188414416</c:v>
                </c:pt>
                <c:pt idx="390">
                  <c:v>652.98869859783576</c:v>
                </c:pt>
                <c:pt idx="391">
                  <c:v>654.31135809287809</c:v>
                </c:pt>
                <c:pt idx="392">
                  <c:v>655.62734208021573</c:v>
                </c:pt>
                <c:pt idx="393">
                  <c:v>656.93662345613961</c:v>
                </c:pt>
                <c:pt idx="394">
                  <c:v>658.23917629586026</c:v>
                </c:pt>
                <c:pt idx="395">
                  <c:v>659.53497584662387</c:v>
                </c:pt>
                <c:pt idx="396">
                  <c:v>660.82399852038827</c:v>
                </c:pt>
                <c:pt idx="397">
                  <c:v>662.10622188607465</c:v>
                </c:pt>
                <c:pt idx="398">
                  <c:v>663.38162466141193</c:v>
                </c:pt>
                <c:pt idx="399">
                  <c:v>664.65018670438894</c:v>
                </c:pt>
                <c:pt idx="400">
                  <c:v>665.91188900433087</c:v>
                </c:pt>
                <c:pt idx="401">
                  <c:v>667.16671367261461</c:v>
                </c:pt>
                <c:pt idx="402">
                  <c:v>668.41464393303897</c:v>
                </c:pt>
                <c:pt idx="403">
                  <c:v>669.65566411186444</c:v>
                </c:pt>
                <c:pt idx="404">
                  <c:v>670.8897596275375</c:v>
                </c:pt>
                <c:pt idx="405">
                  <c:v>672.11691698011384</c:v>
                </c:pt>
                <c:pt idx="406">
                  <c:v>673.33712374039476</c:v>
                </c:pt>
                <c:pt idx="407">
                  <c:v>674.55036853879142</c:v>
                </c:pt>
                <c:pt idx="408">
                  <c:v>675.75664105393037</c:v>
                </c:pt>
                <c:pt idx="409">
                  <c:v>676.95593200101371</c:v>
                </c:pt>
                <c:pt idx="410">
                  <c:v>678.14823311994837</c:v>
                </c:pt>
                <c:pt idx="411">
                  <c:v>679.33353716325644</c:v>
                </c:pt>
                <c:pt idx="412">
                  <c:v>680.51183788378091</c:v>
                </c:pt>
                <c:pt idx="413">
                  <c:v>681.68313002219793</c:v>
                </c:pt>
                <c:pt idx="414">
                  <c:v>682.84740929434952</c:v>
                </c:pt>
                <c:pt idx="415">
                  <c:v>684.0046723784086</c:v>
                </c:pt>
                <c:pt idx="416">
                  <c:v>685.1549169018873</c:v>
                </c:pt>
                <c:pt idx="417">
                  <c:v>686.29814142850239</c:v>
                </c:pt>
                <c:pt idx="418">
                  <c:v>687.43434544490697</c:v>
                </c:pt>
                <c:pt idx="419">
                  <c:v>688.56352934730194</c:v>
                </c:pt>
                <c:pt idx="420">
                  <c:v>689.68569442793648</c:v>
                </c:pt>
                <c:pt idx="421">
                  <c:v>690.80084286150964</c:v>
                </c:pt>
                <c:pt idx="422">
                  <c:v>691.90897769148262</c:v>
                </c:pt>
                <c:pt idx="423">
                  <c:v>693.01010281631261</c:v>
                </c:pt>
                <c:pt idx="424">
                  <c:v>694.1042229756182</c:v>
                </c:pt>
                <c:pt idx="425">
                  <c:v>695.19134373628572</c:v>
                </c:pt>
                <c:pt idx="426">
                  <c:v>696.27147147852634</c:v>
                </c:pt>
                <c:pt idx="427">
                  <c:v>697.34461338189351</c:v>
                </c:pt>
                <c:pt idx="428">
                  <c:v>698.41077741126935</c:v>
                </c:pt>
                <c:pt idx="429">
                  <c:v>699.46997230282852</c:v>
                </c:pt>
                <c:pt idx="430">
                  <c:v>700.52220754998905</c:v>
                </c:pt>
                <c:pt idx="431">
                  <c:v>701.56749338935731</c:v>
                </c:pt>
                <c:pt idx="432">
                  <c:v>702.60584078667603</c:v>
                </c:pt>
                <c:pt idx="433">
                  <c:v>703.63726142278279</c:v>
                </c:pt>
                <c:pt idx="434">
                  <c:v>704.66176767958621</c:v>
                </c:pt>
                <c:pt idx="435">
                  <c:v>705.67937262606802</c:v>
                </c:pt>
                <c:pt idx="436">
                  <c:v>706.6900900043172</c:v>
                </c:pt>
                <c:pt idx="437">
                  <c:v>707.69393421560324</c:v>
                </c:pt>
                <c:pt idx="438">
                  <c:v>708.6909203064954</c:v>
                </c:pt>
                <c:pt idx="439">
                  <c:v>709.68106395503435</c:v>
                </c:pt>
                <c:pt idx="440">
                  <c:v>710.66438145696156</c:v>
                </c:pt>
                <c:pt idx="441">
                  <c:v>711.64088971201329</c:v>
                </c:pt>
                <c:pt idx="442">
                  <c:v>712.61060621028389</c:v>
                </c:pt>
                <c:pt idx="443">
                  <c:v>713.57354901866518</c:v>
                </c:pt>
                <c:pt idx="444">
                  <c:v>714.52973676736531</c:v>
                </c:pt>
                <c:pt idx="445">
                  <c:v>715.47918863651364</c:v>
                </c:pt>
                <c:pt idx="446">
                  <c:v>716.42192434285607</c:v>
                </c:pt>
                <c:pt idx="447">
                  <c:v>717.35796412654429</c:v>
                </c:pt>
                <c:pt idx="448">
                  <c:v>718.28732873802494</c:v>
                </c:pt>
                <c:pt idx="449">
                  <c:v>719.21003942503194</c:v>
                </c:pt>
                <c:pt idx="450">
                  <c:v>720.12611791968561</c:v>
                </c:pt>
                <c:pt idx="451">
                  <c:v>721.03558642570329</c:v>
                </c:pt>
                <c:pt idx="452">
                  <c:v>721.93846760572421</c:v>
                </c:pt>
                <c:pt idx="453">
                  <c:v>722.83478456875241</c:v>
                </c:pt>
                <c:pt idx="454">
                  <c:v>723.72456085772058</c:v>
                </c:pt>
                <c:pt idx="455">
                  <c:v>724.60782043717802</c:v>
                </c:pt>
                <c:pt idx="456">
                  <c:v>725.48458768110561</c:v>
                </c:pt>
                <c:pt idx="457">
                  <c:v>726.35488736086029</c:v>
                </c:pt>
                <c:pt idx="458">
                  <c:v>727.21874463325128</c:v>
                </c:pt>
                <c:pt idx="459">
                  <c:v>728.07618502875096</c:v>
                </c:pt>
                <c:pt idx="460">
                  <c:v>728.92723443984187</c:v>
                </c:pt>
                <c:pt idx="461">
                  <c:v>729.77191910950251</c:v>
                </c:pt>
                <c:pt idx="462">
                  <c:v>730.61026561983272</c:v>
                </c:pt>
                <c:pt idx="463">
                  <c:v>731.44230088082179</c:v>
                </c:pt>
                <c:pt idx="464">
                  <c:v>732.26805211925944</c:v>
                </c:pt>
                <c:pt idx="465">
                  <c:v>733.08754686779184</c:v>
                </c:pt>
                <c:pt idx="466">
                  <c:v>733.90081295412381</c:v>
                </c:pt>
                <c:pt idx="467">
                  <c:v>734.70787849036776</c:v>
                </c:pt>
                <c:pt idx="468">
                  <c:v>735.50877186254138</c:v>
                </c:pt>
                <c:pt idx="469">
                  <c:v>736.30352172021401</c:v>
                </c:pt>
                <c:pt idx="470">
                  <c:v>737.09215696630281</c:v>
                </c:pt>
                <c:pt idx="471">
                  <c:v>737.87470674701922</c:v>
                </c:pt>
                <c:pt idx="472">
                  <c:v>738.65120044196635</c:v>
                </c:pt>
                <c:pt idx="473">
                  <c:v>739.42166765438776</c:v>
                </c:pt>
                <c:pt idx="474">
                  <c:v>740.18613820156759</c:v>
                </c:pt>
                <c:pt idx="475">
                  <c:v>740.94464210538229</c:v>
                </c:pt>
                <c:pt idx="476">
                  <c:v>741.69720958300434</c:v>
                </c:pt>
                <c:pt idx="477">
                  <c:v>742.4438710377575</c:v>
                </c:pt>
                <c:pt idx="478">
                  <c:v>743.18465705012397</c:v>
                </c:pt>
                <c:pt idx="479">
                  <c:v>743.91959836890271</c:v>
                </c:pt>
                <c:pt idx="480">
                  <c:v>744.648725902519</c:v>
                </c:pt>
                <c:pt idx="481">
                  <c:v>745.37207071048465</c:v>
                </c:pt>
                <c:pt idx="482">
                  <c:v>746.08966399500878</c:v>
                </c:pt>
                <c:pt idx="483">
                  <c:v>746.80153709275805</c:v>
                </c:pt>
                <c:pt idx="484">
                  <c:v>747.50772146676627</c:v>
                </c:pt>
                <c:pt idx="485">
                  <c:v>748.20824869849264</c:v>
                </c:pt>
                <c:pt idx="486">
                  <c:v>748.90315048002719</c:v>
                </c:pt>
                <c:pt idx="487">
                  <c:v>749.5924586064441</c:v>
                </c:pt>
                <c:pt idx="488">
                  <c:v>750.27620496830025</c:v>
                </c:pt>
                <c:pt idx="489">
                  <c:v>750.9544215442794</c:v>
                </c:pt>
                <c:pt idx="490">
                  <c:v>751.62714039398065</c:v>
                </c:pt>
                <c:pt idx="491">
                  <c:v>752.29439365084988</c:v>
                </c:pt>
                <c:pt idx="492">
                  <c:v>752.95621351525358</c:v>
                </c:pt>
                <c:pt idx="493">
                  <c:v>753.61263224769323</c:v>
                </c:pt>
                <c:pt idx="494">
                  <c:v>754.26368216215997</c:v>
                </c:pt>
                <c:pt idx="495">
                  <c:v>754.90939561962773</c:v>
                </c:pt>
                <c:pt idx="496">
                  <c:v>755.54980502168405</c:v>
                </c:pt>
                <c:pt idx="497">
                  <c:v>756.18494280429627</c:v>
                </c:pt>
                <c:pt idx="498">
                  <c:v>756.81484143171326</c:v>
                </c:pt>
                <c:pt idx="499">
                  <c:v>757.43953339050051</c:v>
                </c:pt>
                <c:pt idx="500">
                  <c:v>758.05905118370697</c:v>
                </c:pt>
                <c:pt idx="501">
                  <c:v>758.67342732516261</c:v>
                </c:pt>
                <c:pt idx="502">
                  <c:v>759.28269433390585</c:v>
                </c:pt>
                <c:pt idx="503">
                  <c:v>759.88688472873787</c:v>
                </c:pt>
                <c:pt idx="504">
                  <c:v>760.48603102290406</c:v>
                </c:pt>
                <c:pt idx="505">
                  <c:v>761.08016571889971</c:v>
                </c:pt>
                <c:pt idx="506">
                  <c:v>761.66932130339944</c:v>
                </c:pt>
                <c:pt idx="507">
                  <c:v>762.25353024230833</c:v>
                </c:pt>
                <c:pt idx="508">
                  <c:v>762.83282497593314</c:v>
                </c:pt>
                <c:pt idx="509">
                  <c:v>763.40723791427251</c:v>
                </c:pt>
                <c:pt idx="510">
                  <c:v>763.97680143242405</c:v>
                </c:pt>
                <c:pt idx="511">
                  <c:v>764.54154786610718</c:v>
                </c:pt>
                <c:pt idx="512">
                  <c:v>765.10150950729985</c:v>
                </c:pt>
                <c:pt idx="513">
                  <c:v>765.65671859998781</c:v>
                </c:pt>
                <c:pt idx="514">
                  <c:v>766.20720733602457</c:v>
                </c:pt>
                <c:pt idx="515">
                  <c:v>766.75300785110051</c:v>
                </c:pt>
                <c:pt idx="516">
                  <c:v>767.29415222081957</c:v>
                </c:pt>
                <c:pt idx="517">
                  <c:v>767.83067245688233</c:v>
                </c:pt>
                <c:pt idx="518">
                  <c:v>768.36260050337285</c:v>
                </c:pt>
                <c:pt idx="519">
                  <c:v>768.88996823314881</c:v>
                </c:pt>
                <c:pt idx="520">
                  <c:v>769.41280744433277</c:v>
                </c:pt>
                <c:pt idx="521">
                  <c:v>769.93114985690261</c:v>
                </c:pt>
                <c:pt idx="522">
                  <c:v>770.44502710938048</c:v>
                </c:pt>
                <c:pt idx="523">
                  <c:v>770.95447075561776</c:v>
                </c:pt>
                <c:pt idx="524">
                  <c:v>771.4595122616754</c:v>
                </c:pt>
                <c:pt idx="525">
                  <c:v>771.96018300279638</c:v>
                </c:pt>
                <c:pt idx="526">
                  <c:v>772.45651426047129</c:v>
                </c:pt>
                <c:pt idx="527">
                  <c:v>772.94853721959271</c:v>
                </c:pt>
                <c:pt idx="528">
                  <c:v>773.43628296569898</c:v>
                </c:pt>
                <c:pt idx="529">
                  <c:v>773.9197824823043</c:v>
                </c:pt>
                <c:pt idx="530">
                  <c:v>774.39906664831483</c:v>
                </c:pt>
                <c:pt idx="531">
                  <c:v>774.87416623552872</c:v>
                </c:pt>
                <c:pt idx="532">
                  <c:v>775.34511190621765</c:v>
                </c:pt>
                <c:pt idx="533">
                  <c:v>775.81193421079058</c:v>
                </c:pt>
                <c:pt idx="534">
                  <c:v>776.2746635855359</c:v>
                </c:pt>
                <c:pt idx="535">
                  <c:v>776.73333035044186</c:v>
                </c:pt>
                <c:pt idx="536">
                  <c:v>777.18796470709344</c:v>
                </c:pt>
                <c:pt idx="537">
                  <c:v>777.6385967366441</c:v>
                </c:pt>
                <c:pt idx="538">
                  <c:v>778.08525639786137</c:v>
                </c:pt>
                <c:pt idx="539">
                  <c:v>778.52797352524431</c:v>
                </c:pt>
                <c:pt idx="540">
                  <c:v>778.96677782721144</c:v>
                </c:pt>
                <c:pt idx="541">
                  <c:v>779.40169888435867</c:v>
                </c:pt>
                <c:pt idx="542">
                  <c:v>779.83276614778447</c:v>
                </c:pt>
                <c:pt idx="543">
                  <c:v>780.26000893748198</c:v>
                </c:pt>
                <c:pt idx="544">
                  <c:v>780.68345644079625</c:v>
                </c:pt>
                <c:pt idx="545">
                  <c:v>781.10313771094536</c:v>
                </c:pt>
                <c:pt idx="546">
                  <c:v>781.51908166560372</c:v>
                </c:pt>
                <c:pt idx="547">
                  <c:v>781.93131708554722</c:v>
                </c:pt>
                <c:pt idx="548">
                  <c:v>782.33987261335801</c:v>
                </c:pt>
                <c:pt idx="549">
                  <c:v>782.74477675218793</c:v>
                </c:pt>
                <c:pt idx="550">
                  <c:v>783.14605786457923</c:v>
                </c:pt>
                <c:pt idx="551">
                  <c:v>783.54374417134204</c:v>
                </c:pt>
                <c:pt idx="552">
                  <c:v>783.93786375048592</c:v>
                </c:pt>
                <c:pt idx="553">
                  <c:v>784.32844453620601</c:v>
                </c:pt>
                <c:pt idx="554">
                  <c:v>784.71551431792113</c:v>
                </c:pt>
                <c:pt idx="555">
                  <c:v>785.09910073936362</c:v>
                </c:pt>
                <c:pt idx="556">
                  <c:v>785.47923129771914</c:v>
                </c:pt>
                <c:pt idx="557">
                  <c:v>785.85593334281589</c:v>
                </c:pt>
                <c:pt idx="558">
                  <c:v>786.22923407636142</c:v>
                </c:pt>
                <c:pt idx="559">
                  <c:v>786.59916055122665</c:v>
                </c:pt>
                <c:pt idx="560">
                  <c:v>786.96573967077529</c:v>
                </c:pt>
                <c:pt idx="561">
                  <c:v>787.32899818823842</c:v>
                </c:pt>
                <c:pt idx="562">
                  <c:v>787.68896270613232</c:v>
                </c:pt>
                <c:pt idx="563">
                  <c:v>788.04565967571909</c:v>
                </c:pt>
                <c:pt idx="564">
                  <c:v>788.39911539650871</c:v>
                </c:pt>
                <c:pt idx="565">
                  <c:v>788.74935601580182</c:v>
                </c:pt>
                <c:pt idx="566">
                  <c:v>789.09640752827227</c:v>
                </c:pt>
                <c:pt idx="567">
                  <c:v>789.44029577558786</c:v>
                </c:pt>
                <c:pt idx="568">
                  <c:v>789.7810464460689</c:v>
                </c:pt>
                <c:pt idx="569">
                  <c:v>790.11868507438362</c:v>
                </c:pt>
                <c:pt idx="570">
                  <c:v>790.45323704127952</c:v>
                </c:pt>
                <c:pt idx="571">
                  <c:v>790.78472757334896</c:v>
                </c:pt>
                <c:pt idx="572">
                  <c:v>791.11318174282951</c:v>
                </c:pt>
                <c:pt idx="573">
                  <c:v>791.43862446743719</c:v>
                </c:pt>
                <c:pt idx="574">
                  <c:v>791.76108051023141</c:v>
                </c:pt>
                <c:pt idx="575">
                  <c:v>792.08057447951217</c:v>
                </c:pt>
                <c:pt idx="576">
                  <c:v>792.39713082874744</c:v>
                </c:pt>
                <c:pt idx="577">
                  <c:v>792.71077385653018</c:v>
                </c:pt>
                <c:pt idx="578">
                  <c:v>793.02152770656483</c:v>
                </c:pt>
                <c:pt idx="579">
                  <c:v>793.32941636768101</c:v>
                </c:pt>
                <c:pt idx="580">
                  <c:v>793.6344636738761</c:v>
                </c:pt>
                <c:pt idx="581">
                  <c:v>793.93669330438297</c:v>
                </c:pt>
                <c:pt idx="582">
                  <c:v>794.2361287837648</c:v>
                </c:pt>
                <c:pt idx="583">
                  <c:v>794.53279348203432</c:v>
                </c:pt>
                <c:pt idx="584">
                  <c:v>794.82671061479789</c:v>
                </c:pt>
                <c:pt idx="585">
                  <c:v>795.11790324342348</c:v>
                </c:pt>
                <c:pt idx="586">
                  <c:v>795.40639427523138</c:v>
                </c:pt>
                <c:pt idx="587">
                  <c:v>795.69220646370752</c:v>
                </c:pt>
                <c:pt idx="588">
                  <c:v>795.97536240873876</c:v>
                </c:pt>
                <c:pt idx="589">
                  <c:v>796.25588455686886</c:v>
                </c:pt>
                <c:pt idx="590">
                  <c:v>796.53379520157546</c:v>
                </c:pt>
                <c:pt idx="591">
                  <c:v>796.80911648356641</c:v>
                </c:pt>
                <c:pt idx="592">
                  <c:v>797.08187039109589</c:v>
                </c:pt>
                <c:pt idx="593">
                  <c:v>797.35207876029847</c:v>
                </c:pt>
                <c:pt idx="594">
                  <c:v>797.61976327554214</c:v>
                </c:pt>
                <c:pt idx="595">
                  <c:v>797.88494546979837</c:v>
                </c:pt>
                <c:pt idx="596">
                  <c:v>798.14764672502918</c:v>
                </c:pt>
                <c:pt idx="597">
                  <c:v>798.40788827259041</c:v>
                </c:pt>
                <c:pt idx="598">
                  <c:v>798.66569119365136</c:v>
                </c:pt>
                <c:pt idx="599">
                  <c:v>798.92107641962957</c:v>
                </c:pt>
                <c:pt idx="600">
                  <c:v>799.17406473264032</c:v>
                </c:pt>
                <c:pt idx="601">
                  <c:v>799.4246767659605</c:v>
                </c:pt>
                <c:pt idx="602">
                  <c:v>799.6729330045066</c:v>
                </c:pt>
                <c:pt idx="603">
                  <c:v>799.91885378532572</c:v>
                </c:pt>
                <c:pt idx="604">
                  <c:v>800.16245929809986</c:v>
                </c:pt>
                <c:pt idx="605">
                  <c:v>800.40376958566219</c:v>
                </c:pt>
                <c:pt idx="606">
                  <c:v>800.64280454452592</c:v>
                </c:pt>
                <c:pt idx="607">
                  <c:v>800.87958392542419</c:v>
                </c:pt>
                <c:pt idx="608">
                  <c:v>801.11412733386157</c:v>
                </c:pt>
                <c:pt idx="609">
                  <c:v>801.34645423067582</c:v>
                </c:pt>
                <c:pt idx="610">
                  <c:v>801.57658393261033</c:v>
                </c:pt>
                <c:pt idx="611">
                  <c:v>801.80453561289642</c:v>
                </c:pt>
                <c:pt idx="612">
                  <c:v>802.03032830184475</c:v>
                </c:pt>
                <c:pt idx="613">
                  <c:v>802.25398088744657</c:v>
                </c:pt>
                <c:pt idx="614">
                  <c:v>802.47551211598341</c:v>
                </c:pt>
                <c:pt idx="615">
                  <c:v>802.6949405926448</c:v>
                </c:pt>
                <c:pt idx="616">
                  <c:v>802.91228478215476</c:v>
                </c:pt>
                <c:pt idx="617">
                  <c:v>803.12756300940543</c:v>
                </c:pt>
                <c:pt idx="618">
                  <c:v>803.34079346009855</c:v>
                </c:pt>
                <c:pt idx="619">
                  <c:v>803.55199418139341</c:v>
                </c:pt>
                <c:pt idx="620">
                  <c:v>803.76118308256196</c:v>
                </c:pt>
                <c:pt idx="621">
                  <c:v>803.96837793565021</c:v>
                </c:pt>
                <c:pt idx="622">
                  <c:v>804.17359637614584</c:v>
                </c:pt>
                <c:pt idx="623">
                  <c:v>804.37685590365118</c:v>
                </c:pt>
                <c:pt idx="624">
                  <c:v>804.57817388256228</c:v>
                </c:pt>
                <c:pt idx="625">
                  <c:v>804.77756754275288</c:v>
                </c:pt>
                <c:pt idx="626">
                  <c:v>804.97505398026328</c:v>
                </c:pt>
                <c:pt idx="627">
                  <c:v>805.17065015799415</c:v>
                </c:pt>
                <c:pt idx="628">
                  <c:v>805.36437290640424</c:v>
                </c:pt>
                <c:pt idx="629">
                  <c:v>805.55623892421318</c:v>
                </c:pt>
                <c:pt idx="630">
                  <c:v>805.74626477910704</c:v>
                </c:pt>
                <c:pt idx="631">
                  <c:v>805.93446690844837</c:v>
                </c:pt>
                <c:pt idx="632">
                  <c:v>806.12086161998957</c:v>
                </c:pt>
                <c:pt idx="633">
                  <c:v>806.30546509258909</c:v>
                </c:pt>
                <c:pt idx="634">
                  <c:v>806.48829337693076</c:v>
                </c:pt>
                <c:pt idx="635">
                  <c:v>806.66936239624613</c:v>
                </c:pt>
                <c:pt idx="636">
                  <c:v>806.84868794703902</c:v>
                </c:pt>
                <c:pt idx="637">
                  <c:v>807.02628569981266</c:v>
                </c:pt>
                <c:pt idx="638">
                  <c:v>807.20217119979839</c:v>
                </c:pt>
                <c:pt idx="639">
                  <c:v>807.37635986768726</c:v>
                </c:pt>
                <c:pt idx="640">
                  <c:v>807.54886700036252</c:v>
                </c:pt>
                <c:pt idx="641">
                  <c:v>807.71970777163403</c:v>
                </c:pt>
                <c:pt idx="642">
                  <c:v>807.88889723297405</c:v>
                </c:pt>
                <c:pt idx="643">
                  <c:v>808.05645031425388</c:v>
                </c:pt>
                <c:pt idx="644">
                  <c:v>808.22238182448223</c:v>
                </c:pt>
                <c:pt idx="645">
                  <c:v>808.38670645254354</c:v>
                </c:pt>
                <c:pt idx="646">
                  <c:v>808.54943876793777</c:v>
                </c:pt>
                <c:pt idx="647">
                  <c:v>808.7105932215203</c:v>
                </c:pt>
                <c:pt idx="648">
                  <c:v>808.87018414624242</c:v>
                </c:pt>
                <c:pt idx="649">
                  <c:v>809.02822575789196</c:v>
                </c:pt>
                <c:pt idx="650">
                  <c:v>809.18473215583379</c:v>
                </c:pt>
                <c:pt idx="651">
                  <c:v>809.33971732375096</c:v>
                </c:pt>
                <c:pt idx="652">
                  <c:v>809.49319513038461</c:v>
                </c:pt>
                <c:pt idx="653">
                  <c:v>809.6451793302748</c:v>
                </c:pt>
                <c:pt idx="654">
                  <c:v>809.6451793302748</c:v>
                </c:pt>
                <c:pt idx="655">
                  <c:v>809.6451793302748</c:v>
                </c:pt>
                <c:pt idx="656">
                  <c:v>809.6451793302748</c:v>
                </c:pt>
                <c:pt idx="657">
                  <c:v>809.6451793302748</c:v>
                </c:pt>
                <c:pt idx="658">
                  <c:v>809.6451793302748</c:v>
                </c:pt>
                <c:pt idx="659">
                  <c:v>809.6451793302748</c:v>
                </c:pt>
                <c:pt idx="660">
                  <c:v>809.6451793302748</c:v>
                </c:pt>
                <c:pt idx="661">
                  <c:v>809.6451793302748</c:v>
                </c:pt>
                <c:pt idx="662">
                  <c:v>809.6451793302748</c:v>
                </c:pt>
                <c:pt idx="663">
                  <c:v>809.6451793302748</c:v>
                </c:pt>
                <c:pt idx="664">
                  <c:v>809.6451793302748</c:v>
                </c:pt>
                <c:pt idx="665">
                  <c:v>809.6451793302748</c:v>
                </c:pt>
                <c:pt idx="666">
                  <c:v>809.6451793302748</c:v>
                </c:pt>
                <c:pt idx="667">
                  <c:v>809.6451793302748</c:v>
                </c:pt>
                <c:pt idx="668">
                  <c:v>809.6451793302748</c:v>
                </c:pt>
                <c:pt idx="669">
                  <c:v>809.6451793302748</c:v>
                </c:pt>
                <c:pt idx="670">
                  <c:v>809.6451793302748</c:v>
                </c:pt>
                <c:pt idx="671">
                  <c:v>809.6451793302748</c:v>
                </c:pt>
                <c:pt idx="672">
                  <c:v>809.6451793302748</c:v>
                </c:pt>
                <c:pt idx="673">
                  <c:v>809.6451793302748</c:v>
                </c:pt>
                <c:pt idx="674">
                  <c:v>809.6451793302748</c:v>
                </c:pt>
                <c:pt idx="675">
                  <c:v>809.6451793302748</c:v>
                </c:pt>
                <c:pt idx="676">
                  <c:v>809.6451793302748</c:v>
                </c:pt>
                <c:pt idx="677">
                  <c:v>809.6451793302748</c:v>
                </c:pt>
                <c:pt idx="678">
                  <c:v>809.6451793302748</c:v>
                </c:pt>
                <c:pt idx="679">
                  <c:v>809.6451793302748</c:v>
                </c:pt>
                <c:pt idx="680">
                  <c:v>809.6451793302748</c:v>
                </c:pt>
                <c:pt idx="681">
                  <c:v>809.6451793302748</c:v>
                </c:pt>
                <c:pt idx="682">
                  <c:v>809.6451793302748</c:v>
                </c:pt>
                <c:pt idx="683">
                  <c:v>809.6451793302748</c:v>
                </c:pt>
                <c:pt idx="684">
                  <c:v>809.6451793302748</c:v>
                </c:pt>
                <c:pt idx="685">
                  <c:v>809.6451793302748</c:v>
                </c:pt>
                <c:pt idx="686">
                  <c:v>809.6451793302748</c:v>
                </c:pt>
                <c:pt idx="687">
                  <c:v>809.6451793302748</c:v>
                </c:pt>
                <c:pt idx="688">
                  <c:v>809.6451793302748</c:v>
                </c:pt>
                <c:pt idx="689">
                  <c:v>809.6451793302748</c:v>
                </c:pt>
                <c:pt idx="690">
                  <c:v>809.6451793302748</c:v>
                </c:pt>
                <c:pt idx="691">
                  <c:v>809.6451793302748</c:v>
                </c:pt>
                <c:pt idx="692">
                  <c:v>809.6451793302748</c:v>
                </c:pt>
                <c:pt idx="693">
                  <c:v>809.6451793302748</c:v>
                </c:pt>
                <c:pt idx="694">
                  <c:v>809.6451793302748</c:v>
                </c:pt>
                <c:pt idx="695">
                  <c:v>809.6451793302748</c:v>
                </c:pt>
                <c:pt idx="696">
                  <c:v>809.6451793302748</c:v>
                </c:pt>
                <c:pt idx="697">
                  <c:v>809.6451793302748</c:v>
                </c:pt>
                <c:pt idx="698">
                  <c:v>809.6451793302748</c:v>
                </c:pt>
                <c:pt idx="699">
                  <c:v>809.6451793302748</c:v>
                </c:pt>
                <c:pt idx="700">
                  <c:v>809.6451793302748</c:v>
                </c:pt>
                <c:pt idx="701">
                  <c:v>809.6451793302748</c:v>
                </c:pt>
                <c:pt idx="702">
                  <c:v>809.6451793302748</c:v>
                </c:pt>
                <c:pt idx="703">
                  <c:v>809.6451793302748</c:v>
                </c:pt>
                <c:pt idx="704">
                  <c:v>809.6451793302748</c:v>
                </c:pt>
                <c:pt idx="705">
                  <c:v>809.6451793302748</c:v>
                </c:pt>
                <c:pt idx="706">
                  <c:v>809.6451793302748</c:v>
                </c:pt>
                <c:pt idx="707">
                  <c:v>809.6451793302748</c:v>
                </c:pt>
                <c:pt idx="708">
                  <c:v>809.6451793302748</c:v>
                </c:pt>
                <c:pt idx="709">
                  <c:v>809.6451793302748</c:v>
                </c:pt>
                <c:pt idx="710">
                  <c:v>809.6451793302748</c:v>
                </c:pt>
                <c:pt idx="711">
                  <c:v>809.6451793302748</c:v>
                </c:pt>
                <c:pt idx="712">
                  <c:v>809.6451793302748</c:v>
                </c:pt>
                <c:pt idx="713">
                  <c:v>809.6451793302748</c:v>
                </c:pt>
                <c:pt idx="714">
                  <c:v>809.6451793302748</c:v>
                </c:pt>
                <c:pt idx="715">
                  <c:v>809.6451793302748</c:v>
                </c:pt>
                <c:pt idx="716">
                  <c:v>809.6451793302748</c:v>
                </c:pt>
                <c:pt idx="717">
                  <c:v>809.6451793302748</c:v>
                </c:pt>
                <c:pt idx="718">
                  <c:v>809.6451793302748</c:v>
                </c:pt>
                <c:pt idx="719">
                  <c:v>809.6451793302748</c:v>
                </c:pt>
                <c:pt idx="720">
                  <c:v>809.6451793302748</c:v>
                </c:pt>
                <c:pt idx="721">
                  <c:v>809.6451793302748</c:v>
                </c:pt>
                <c:pt idx="722">
                  <c:v>809.6451793302748</c:v>
                </c:pt>
                <c:pt idx="723">
                  <c:v>809.6451793302748</c:v>
                </c:pt>
                <c:pt idx="724">
                  <c:v>809.6451793302748</c:v>
                </c:pt>
                <c:pt idx="725">
                  <c:v>809.6451793302748</c:v>
                </c:pt>
                <c:pt idx="726">
                  <c:v>809.6451793302748</c:v>
                </c:pt>
                <c:pt idx="727">
                  <c:v>809.6451793302748</c:v>
                </c:pt>
                <c:pt idx="728">
                  <c:v>809.6451793302748</c:v>
                </c:pt>
                <c:pt idx="729">
                  <c:v>809.6451793302748</c:v>
                </c:pt>
                <c:pt idx="730">
                  <c:v>809.6451793302748</c:v>
                </c:pt>
                <c:pt idx="731">
                  <c:v>809.6451793302748</c:v>
                </c:pt>
                <c:pt idx="732">
                  <c:v>809.6451793302748</c:v>
                </c:pt>
                <c:pt idx="733">
                  <c:v>809.6451793302748</c:v>
                </c:pt>
                <c:pt idx="734">
                  <c:v>809.6451793302748</c:v>
                </c:pt>
                <c:pt idx="735">
                  <c:v>809.6451793302748</c:v>
                </c:pt>
                <c:pt idx="736">
                  <c:v>809.6451793302748</c:v>
                </c:pt>
                <c:pt idx="737">
                  <c:v>809.6451793302748</c:v>
                </c:pt>
                <c:pt idx="738">
                  <c:v>809.6451793302748</c:v>
                </c:pt>
                <c:pt idx="739">
                  <c:v>809.6451793302748</c:v>
                </c:pt>
                <c:pt idx="740">
                  <c:v>809.6451793302748</c:v>
                </c:pt>
                <c:pt idx="741">
                  <c:v>809.6451793302748</c:v>
                </c:pt>
                <c:pt idx="742">
                  <c:v>809.6451793302748</c:v>
                </c:pt>
                <c:pt idx="743">
                  <c:v>809.6451793302748</c:v>
                </c:pt>
                <c:pt idx="744">
                  <c:v>809.6451793302748</c:v>
                </c:pt>
                <c:pt idx="745">
                  <c:v>809.6451793302748</c:v>
                </c:pt>
                <c:pt idx="746">
                  <c:v>809.6451793302748</c:v>
                </c:pt>
                <c:pt idx="747">
                  <c:v>809.6451793302748</c:v>
                </c:pt>
                <c:pt idx="748">
                  <c:v>809.6451793302748</c:v>
                </c:pt>
                <c:pt idx="749">
                  <c:v>809.6451793302748</c:v>
                </c:pt>
                <c:pt idx="750">
                  <c:v>809.6451793302748</c:v>
                </c:pt>
                <c:pt idx="751">
                  <c:v>809.6451793302748</c:v>
                </c:pt>
                <c:pt idx="752">
                  <c:v>809.6451793302748</c:v>
                </c:pt>
                <c:pt idx="753">
                  <c:v>809.6451793302748</c:v>
                </c:pt>
                <c:pt idx="754">
                  <c:v>809.6451793302748</c:v>
                </c:pt>
                <c:pt idx="755">
                  <c:v>809.6451793302748</c:v>
                </c:pt>
                <c:pt idx="756">
                  <c:v>809.6451793302748</c:v>
                </c:pt>
                <c:pt idx="757">
                  <c:v>809.6451793302748</c:v>
                </c:pt>
                <c:pt idx="758">
                  <c:v>809.6451793302748</c:v>
                </c:pt>
                <c:pt idx="759">
                  <c:v>809.6451793302748</c:v>
                </c:pt>
                <c:pt idx="760">
                  <c:v>809.6451793302748</c:v>
                </c:pt>
                <c:pt idx="761">
                  <c:v>809.6451793302748</c:v>
                </c:pt>
                <c:pt idx="762">
                  <c:v>809.6451793302748</c:v>
                </c:pt>
                <c:pt idx="763">
                  <c:v>809.6451793302748</c:v>
                </c:pt>
                <c:pt idx="764">
                  <c:v>809.6451793302748</c:v>
                </c:pt>
                <c:pt idx="765">
                  <c:v>809.6451793302748</c:v>
                </c:pt>
                <c:pt idx="766">
                  <c:v>809.6451793302748</c:v>
                </c:pt>
                <c:pt idx="767">
                  <c:v>809.6451793302748</c:v>
                </c:pt>
                <c:pt idx="768">
                  <c:v>809.6451793302748</c:v>
                </c:pt>
                <c:pt idx="769">
                  <c:v>809.6451793302748</c:v>
                </c:pt>
                <c:pt idx="770">
                  <c:v>809.6451793302748</c:v>
                </c:pt>
                <c:pt idx="771">
                  <c:v>809.6451793302748</c:v>
                </c:pt>
                <c:pt idx="772">
                  <c:v>809.6451793302748</c:v>
                </c:pt>
                <c:pt idx="773">
                  <c:v>809.6451793302748</c:v>
                </c:pt>
                <c:pt idx="774">
                  <c:v>809.6451793302748</c:v>
                </c:pt>
                <c:pt idx="775">
                  <c:v>809.6451793302748</c:v>
                </c:pt>
                <c:pt idx="776">
                  <c:v>809.6451793302748</c:v>
                </c:pt>
                <c:pt idx="777">
                  <c:v>809.6451793302748</c:v>
                </c:pt>
                <c:pt idx="778">
                  <c:v>809.6451793302748</c:v>
                </c:pt>
                <c:pt idx="779">
                  <c:v>809.6451793302748</c:v>
                </c:pt>
                <c:pt idx="780">
                  <c:v>809.6451793302748</c:v>
                </c:pt>
                <c:pt idx="781">
                  <c:v>809.6451793302748</c:v>
                </c:pt>
                <c:pt idx="782">
                  <c:v>809.6451793302748</c:v>
                </c:pt>
                <c:pt idx="783">
                  <c:v>809.6451793302748</c:v>
                </c:pt>
                <c:pt idx="784">
                  <c:v>809.6451793302748</c:v>
                </c:pt>
                <c:pt idx="785">
                  <c:v>809.6451793302748</c:v>
                </c:pt>
                <c:pt idx="786">
                  <c:v>809.6451793302748</c:v>
                </c:pt>
                <c:pt idx="787">
                  <c:v>809.6451793302748</c:v>
                </c:pt>
                <c:pt idx="788">
                  <c:v>809.6451793302748</c:v>
                </c:pt>
                <c:pt idx="789">
                  <c:v>809.6451793302748</c:v>
                </c:pt>
                <c:pt idx="790">
                  <c:v>809.6451793302748</c:v>
                </c:pt>
                <c:pt idx="791">
                  <c:v>809.6451793302748</c:v>
                </c:pt>
                <c:pt idx="792">
                  <c:v>809.6451793302748</c:v>
                </c:pt>
                <c:pt idx="793">
                  <c:v>809.6451793302748</c:v>
                </c:pt>
                <c:pt idx="794">
                  <c:v>809.6451793302748</c:v>
                </c:pt>
                <c:pt idx="795">
                  <c:v>809.6451793302748</c:v>
                </c:pt>
                <c:pt idx="796">
                  <c:v>809.6451793302748</c:v>
                </c:pt>
                <c:pt idx="797">
                  <c:v>809.6451793302748</c:v>
                </c:pt>
                <c:pt idx="798">
                  <c:v>809.6451793302748</c:v>
                </c:pt>
                <c:pt idx="799">
                  <c:v>809.6451793302748</c:v>
                </c:pt>
                <c:pt idx="800">
                  <c:v>809.6451793302748</c:v>
                </c:pt>
                <c:pt idx="801">
                  <c:v>809.6451793302748</c:v>
                </c:pt>
                <c:pt idx="802">
                  <c:v>809.6451793302748</c:v>
                </c:pt>
                <c:pt idx="803">
                  <c:v>809.6451793302748</c:v>
                </c:pt>
                <c:pt idx="804">
                  <c:v>809.6451793302748</c:v>
                </c:pt>
                <c:pt idx="805">
                  <c:v>809.6451793302748</c:v>
                </c:pt>
                <c:pt idx="806">
                  <c:v>809.6451793302748</c:v>
                </c:pt>
                <c:pt idx="807">
                  <c:v>809.6451793302748</c:v>
                </c:pt>
                <c:pt idx="808">
                  <c:v>809.6451793302748</c:v>
                </c:pt>
                <c:pt idx="809">
                  <c:v>809.6451793302748</c:v>
                </c:pt>
                <c:pt idx="810">
                  <c:v>809.6451793302748</c:v>
                </c:pt>
                <c:pt idx="811">
                  <c:v>809.6451793302748</c:v>
                </c:pt>
                <c:pt idx="812">
                  <c:v>809.6451793302748</c:v>
                </c:pt>
                <c:pt idx="813">
                  <c:v>809.6451793302748</c:v>
                </c:pt>
                <c:pt idx="814">
                  <c:v>809.6451793302748</c:v>
                </c:pt>
                <c:pt idx="815">
                  <c:v>809.6451793302748</c:v>
                </c:pt>
                <c:pt idx="816">
                  <c:v>809.6451793302748</c:v>
                </c:pt>
                <c:pt idx="817">
                  <c:v>809.6451793302748</c:v>
                </c:pt>
                <c:pt idx="818">
                  <c:v>809.6451793302748</c:v>
                </c:pt>
                <c:pt idx="819">
                  <c:v>809.6451793302748</c:v>
                </c:pt>
                <c:pt idx="820">
                  <c:v>809.6451793302748</c:v>
                </c:pt>
                <c:pt idx="821">
                  <c:v>809.6451793302748</c:v>
                </c:pt>
                <c:pt idx="822">
                  <c:v>809.6451793302748</c:v>
                </c:pt>
                <c:pt idx="823">
                  <c:v>809.6451793302748</c:v>
                </c:pt>
                <c:pt idx="824">
                  <c:v>809.6451793302748</c:v>
                </c:pt>
                <c:pt idx="825">
                  <c:v>809.6451793302748</c:v>
                </c:pt>
                <c:pt idx="826">
                  <c:v>809.6451793302748</c:v>
                </c:pt>
                <c:pt idx="827">
                  <c:v>809.6451793302748</c:v>
                </c:pt>
                <c:pt idx="828">
                  <c:v>809.6451793302748</c:v>
                </c:pt>
                <c:pt idx="829">
                  <c:v>809.6451793302748</c:v>
                </c:pt>
                <c:pt idx="830">
                  <c:v>809.6451793302748</c:v>
                </c:pt>
                <c:pt idx="831">
                  <c:v>809.6451793302748</c:v>
                </c:pt>
                <c:pt idx="832">
                  <c:v>809.6451793302748</c:v>
                </c:pt>
                <c:pt idx="833">
                  <c:v>809.6451793302748</c:v>
                </c:pt>
                <c:pt idx="834">
                  <c:v>809.6451793302748</c:v>
                </c:pt>
                <c:pt idx="835">
                  <c:v>809.6451793302748</c:v>
                </c:pt>
                <c:pt idx="836">
                  <c:v>809.6451793302748</c:v>
                </c:pt>
                <c:pt idx="837">
                  <c:v>809.6451793302748</c:v>
                </c:pt>
                <c:pt idx="838">
                  <c:v>809.6451793302748</c:v>
                </c:pt>
                <c:pt idx="839">
                  <c:v>809.6451793302748</c:v>
                </c:pt>
                <c:pt idx="840">
                  <c:v>809.6451793302748</c:v>
                </c:pt>
                <c:pt idx="841">
                  <c:v>809.6451793302748</c:v>
                </c:pt>
                <c:pt idx="842">
                  <c:v>809.6451793302748</c:v>
                </c:pt>
                <c:pt idx="843">
                  <c:v>809.6451793302748</c:v>
                </c:pt>
                <c:pt idx="844">
                  <c:v>809.6451793302748</c:v>
                </c:pt>
                <c:pt idx="845">
                  <c:v>809.6451793302748</c:v>
                </c:pt>
                <c:pt idx="846">
                  <c:v>809.6451793302748</c:v>
                </c:pt>
                <c:pt idx="847">
                  <c:v>809.6451793302748</c:v>
                </c:pt>
                <c:pt idx="848">
                  <c:v>809.6451793302748</c:v>
                </c:pt>
                <c:pt idx="849">
                  <c:v>809.6451793302748</c:v>
                </c:pt>
                <c:pt idx="850">
                  <c:v>809.6451793302748</c:v>
                </c:pt>
                <c:pt idx="851">
                  <c:v>809.6451793302748</c:v>
                </c:pt>
                <c:pt idx="852">
                  <c:v>809.6451793302748</c:v>
                </c:pt>
                <c:pt idx="853">
                  <c:v>809.6451793302748</c:v>
                </c:pt>
                <c:pt idx="854">
                  <c:v>809.6451793302748</c:v>
                </c:pt>
                <c:pt idx="855">
                  <c:v>809.6451793302748</c:v>
                </c:pt>
                <c:pt idx="856">
                  <c:v>809.6451793302748</c:v>
                </c:pt>
                <c:pt idx="857">
                  <c:v>809.6451793302748</c:v>
                </c:pt>
                <c:pt idx="858">
                  <c:v>809.6451793302748</c:v>
                </c:pt>
                <c:pt idx="859">
                  <c:v>809.6451793302748</c:v>
                </c:pt>
                <c:pt idx="860">
                  <c:v>809.6451793302748</c:v>
                </c:pt>
                <c:pt idx="861">
                  <c:v>809.6451793302748</c:v>
                </c:pt>
                <c:pt idx="862">
                  <c:v>809.6451793302748</c:v>
                </c:pt>
                <c:pt idx="863">
                  <c:v>809.6451793302748</c:v>
                </c:pt>
                <c:pt idx="864">
                  <c:v>809.6451793302748</c:v>
                </c:pt>
                <c:pt idx="865">
                  <c:v>809.6451793302748</c:v>
                </c:pt>
                <c:pt idx="866">
                  <c:v>809.6451793302748</c:v>
                </c:pt>
                <c:pt idx="867">
                  <c:v>809.6451793302748</c:v>
                </c:pt>
                <c:pt idx="868">
                  <c:v>809.6451793302748</c:v>
                </c:pt>
                <c:pt idx="869">
                  <c:v>809.6451793302748</c:v>
                </c:pt>
                <c:pt idx="870">
                  <c:v>809.6451793302748</c:v>
                </c:pt>
                <c:pt idx="871">
                  <c:v>809.6451793302748</c:v>
                </c:pt>
                <c:pt idx="872">
                  <c:v>809.6451793302748</c:v>
                </c:pt>
                <c:pt idx="873">
                  <c:v>809.6451793302748</c:v>
                </c:pt>
                <c:pt idx="874">
                  <c:v>809.6451793302748</c:v>
                </c:pt>
                <c:pt idx="875">
                  <c:v>809.6451793302748</c:v>
                </c:pt>
                <c:pt idx="876">
                  <c:v>809.6451793302748</c:v>
                </c:pt>
                <c:pt idx="877">
                  <c:v>809.6451793302748</c:v>
                </c:pt>
                <c:pt idx="878">
                  <c:v>809.6451793302748</c:v>
                </c:pt>
                <c:pt idx="879">
                  <c:v>809.6451793302748</c:v>
                </c:pt>
                <c:pt idx="880">
                  <c:v>809.6451793302748</c:v>
                </c:pt>
                <c:pt idx="881">
                  <c:v>809.6451793302748</c:v>
                </c:pt>
                <c:pt idx="882">
                  <c:v>809.6451793302748</c:v>
                </c:pt>
                <c:pt idx="883">
                  <c:v>809.6451793302748</c:v>
                </c:pt>
                <c:pt idx="884">
                  <c:v>809.6451793302748</c:v>
                </c:pt>
                <c:pt idx="885">
                  <c:v>809.6451793302748</c:v>
                </c:pt>
                <c:pt idx="886">
                  <c:v>809.6451793302748</c:v>
                </c:pt>
                <c:pt idx="887">
                  <c:v>809.6451793302748</c:v>
                </c:pt>
                <c:pt idx="888">
                  <c:v>809.6451793302748</c:v>
                </c:pt>
                <c:pt idx="889">
                  <c:v>809.6451793302748</c:v>
                </c:pt>
                <c:pt idx="890">
                  <c:v>809.6451793302748</c:v>
                </c:pt>
                <c:pt idx="891">
                  <c:v>809.6451793302748</c:v>
                </c:pt>
                <c:pt idx="892">
                  <c:v>809.6451793302748</c:v>
                </c:pt>
                <c:pt idx="893">
                  <c:v>809.6451793302748</c:v>
                </c:pt>
                <c:pt idx="894">
                  <c:v>809.6451793302748</c:v>
                </c:pt>
                <c:pt idx="895">
                  <c:v>809.6451793302748</c:v>
                </c:pt>
                <c:pt idx="896">
                  <c:v>809.6451793302748</c:v>
                </c:pt>
                <c:pt idx="897">
                  <c:v>809.6451793302748</c:v>
                </c:pt>
                <c:pt idx="898">
                  <c:v>809.6451793302748</c:v>
                </c:pt>
                <c:pt idx="899">
                  <c:v>809.6451793302748</c:v>
                </c:pt>
                <c:pt idx="900">
                  <c:v>809.6451793302748</c:v>
                </c:pt>
                <c:pt idx="901">
                  <c:v>809.6451793302748</c:v>
                </c:pt>
                <c:pt idx="902">
                  <c:v>809.6451793302748</c:v>
                </c:pt>
                <c:pt idx="903">
                  <c:v>809.6451793302748</c:v>
                </c:pt>
                <c:pt idx="904">
                  <c:v>809.6451793302748</c:v>
                </c:pt>
                <c:pt idx="905">
                  <c:v>809.6451793302748</c:v>
                </c:pt>
                <c:pt idx="906">
                  <c:v>809.6451793302748</c:v>
                </c:pt>
                <c:pt idx="907">
                  <c:v>809.6451793302748</c:v>
                </c:pt>
                <c:pt idx="908">
                  <c:v>809.6451793302748</c:v>
                </c:pt>
                <c:pt idx="909">
                  <c:v>809.6451793302748</c:v>
                </c:pt>
                <c:pt idx="910">
                  <c:v>809.6451793302748</c:v>
                </c:pt>
                <c:pt idx="911">
                  <c:v>809.6451793302748</c:v>
                </c:pt>
                <c:pt idx="912">
                  <c:v>809.6451793302748</c:v>
                </c:pt>
                <c:pt idx="913">
                  <c:v>809.6451793302748</c:v>
                </c:pt>
                <c:pt idx="914">
                  <c:v>809.6451793302748</c:v>
                </c:pt>
                <c:pt idx="915">
                  <c:v>809.6451793302748</c:v>
                </c:pt>
                <c:pt idx="916">
                  <c:v>809.6451793302748</c:v>
                </c:pt>
                <c:pt idx="917">
                  <c:v>809.6451793302748</c:v>
                </c:pt>
                <c:pt idx="918">
                  <c:v>809.6451793302748</c:v>
                </c:pt>
                <c:pt idx="919">
                  <c:v>809.6451793302748</c:v>
                </c:pt>
                <c:pt idx="920">
                  <c:v>809.6451793302748</c:v>
                </c:pt>
                <c:pt idx="921">
                  <c:v>809.6451793302748</c:v>
                </c:pt>
                <c:pt idx="922">
                  <c:v>809.6451793302748</c:v>
                </c:pt>
                <c:pt idx="923">
                  <c:v>809.6451793302748</c:v>
                </c:pt>
                <c:pt idx="924">
                  <c:v>809.6451793302748</c:v>
                </c:pt>
                <c:pt idx="925">
                  <c:v>809.6451793302748</c:v>
                </c:pt>
                <c:pt idx="926">
                  <c:v>809.6451793302748</c:v>
                </c:pt>
                <c:pt idx="927">
                  <c:v>809.6451793302748</c:v>
                </c:pt>
                <c:pt idx="928">
                  <c:v>809.6451793302748</c:v>
                </c:pt>
                <c:pt idx="929">
                  <c:v>809.6451793302748</c:v>
                </c:pt>
                <c:pt idx="930">
                  <c:v>809.6451793302748</c:v>
                </c:pt>
                <c:pt idx="931">
                  <c:v>809.6451793302748</c:v>
                </c:pt>
                <c:pt idx="932">
                  <c:v>809.6451793302748</c:v>
                </c:pt>
                <c:pt idx="933">
                  <c:v>809.6451793302748</c:v>
                </c:pt>
                <c:pt idx="934">
                  <c:v>809.6451793302748</c:v>
                </c:pt>
                <c:pt idx="935">
                  <c:v>809.6451793302748</c:v>
                </c:pt>
                <c:pt idx="936">
                  <c:v>809.6451793302748</c:v>
                </c:pt>
                <c:pt idx="937">
                  <c:v>809.6451793302748</c:v>
                </c:pt>
                <c:pt idx="938">
                  <c:v>809.6451793302748</c:v>
                </c:pt>
                <c:pt idx="939">
                  <c:v>809.6451793302748</c:v>
                </c:pt>
                <c:pt idx="940">
                  <c:v>809.6451793302748</c:v>
                </c:pt>
                <c:pt idx="941">
                  <c:v>809.6451793302748</c:v>
                </c:pt>
                <c:pt idx="942">
                  <c:v>809.6451793302748</c:v>
                </c:pt>
                <c:pt idx="943">
                  <c:v>809.6451793302748</c:v>
                </c:pt>
                <c:pt idx="944">
                  <c:v>809.6451793302748</c:v>
                </c:pt>
                <c:pt idx="945">
                  <c:v>809.6451793302748</c:v>
                </c:pt>
                <c:pt idx="946">
                  <c:v>809.6451793302748</c:v>
                </c:pt>
                <c:pt idx="947">
                  <c:v>809.6451793302748</c:v>
                </c:pt>
                <c:pt idx="948">
                  <c:v>809.6451793302748</c:v>
                </c:pt>
                <c:pt idx="949">
                  <c:v>809.6451793302748</c:v>
                </c:pt>
                <c:pt idx="950">
                  <c:v>809.6451793302748</c:v>
                </c:pt>
                <c:pt idx="951">
                  <c:v>809.6451793302748</c:v>
                </c:pt>
                <c:pt idx="952">
                  <c:v>809.6451793302748</c:v>
                </c:pt>
                <c:pt idx="953">
                  <c:v>809.6451793302748</c:v>
                </c:pt>
                <c:pt idx="954">
                  <c:v>809.6451793302748</c:v>
                </c:pt>
                <c:pt idx="955">
                  <c:v>809.6451793302748</c:v>
                </c:pt>
                <c:pt idx="956">
                  <c:v>809.6451793302748</c:v>
                </c:pt>
                <c:pt idx="957">
                  <c:v>809.6451793302748</c:v>
                </c:pt>
                <c:pt idx="958">
                  <c:v>809.6451793302748</c:v>
                </c:pt>
                <c:pt idx="959">
                  <c:v>809.6451793302748</c:v>
                </c:pt>
                <c:pt idx="960">
                  <c:v>809.6451793302748</c:v>
                </c:pt>
                <c:pt idx="961">
                  <c:v>809.6451793302748</c:v>
                </c:pt>
                <c:pt idx="962">
                  <c:v>809.6451793302748</c:v>
                </c:pt>
                <c:pt idx="963">
                  <c:v>809.6451793302748</c:v>
                </c:pt>
                <c:pt idx="964">
                  <c:v>809.6451793302748</c:v>
                </c:pt>
                <c:pt idx="965">
                  <c:v>809.6451793302748</c:v>
                </c:pt>
                <c:pt idx="966">
                  <c:v>809.6451793302748</c:v>
                </c:pt>
                <c:pt idx="967">
                  <c:v>809.6451793302748</c:v>
                </c:pt>
                <c:pt idx="968">
                  <c:v>809.6451793302748</c:v>
                </c:pt>
                <c:pt idx="969">
                  <c:v>809.6451793302748</c:v>
                </c:pt>
                <c:pt idx="970">
                  <c:v>809.6451793302748</c:v>
                </c:pt>
                <c:pt idx="971">
                  <c:v>809.6451793302748</c:v>
                </c:pt>
                <c:pt idx="972">
                  <c:v>809.6451793302748</c:v>
                </c:pt>
                <c:pt idx="973">
                  <c:v>809.6451793302748</c:v>
                </c:pt>
                <c:pt idx="974">
                  <c:v>809.6451793302748</c:v>
                </c:pt>
                <c:pt idx="975">
                  <c:v>809.6451793302748</c:v>
                </c:pt>
                <c:pt idx="976">
                  <c:v>809.6451793302748</c:v>
                </c:pt>
                <c:pt idx="977">
                  <c:v>809.6451793302748</c:v>
                </c:pt>
                <c:pt idx="978">
                  <c:v>809.6451793302748</c:v>
                </c:pt>
                <c:pt idx="979">
                  <c:v>809.6451793302748</c:v>
                </c:pt>
                <c:pt idx="980">
                  <c:v>809.6451793302748</c:v>
                </c:pt>
                <c:pt idx="981">
                  <c:v>809.6451793302748</c:v>
                </c:pt>
                <c:pt idx="982">
                  <c:v>809.6451793302748</c:v>
                </c:pt>
                <c:pt idx="983">
                  <c:v>809.6451793302748</c:v>
                </c:pt>
                <c:pt idx="984">
                  <c:v>809.6451793302748</c:v>
                </c:pt>
                <c:pt idx="985">
                  <c:v>809.6451793302748</c:v>
                </c:pt>
                <c:pt idx="986">
                  <c:v>809.6451793302748</c:v>
                </c:pt>
                <c:pt idx="987">
                  <c:v>809.6451793302748</c:v>
                </c:pt>
                <c:pt idx="988">
                  <c:v>809.6451793302748</c:v>
                </c:pt>
                <c:pt idx="989">
                  <c:v>809.6451793302748</c:v>
                </c:pt>
                <c:pt idx="990">
                  <c:v>809.6451793302748</c:v>
                </c:pt>
                <c:pt idx="991">
                  <c:v>809.6451793302748</c:v>
                </c:pt>
                <c:pt idx="992">
                  <c:v>809.6451793302748</c:v>
                </c:pt>
                <c:pt idx="993">
                  <c:v>809.6451793302748</c:v>
                </c:pt>
                <c:pt idx="994">
                  <c:v>809.6451793302748</c:v>
                </c:pt>
                <c:pt idx="995">
                  <c:v>809.6451793302748</c:v>
                </c:pt>
                <c:pt idx="996">
                  <c:v>809.6451793302748</c:v>
                </c:pt>
                <c:pt idx="997">
                  <c:v>809.6451793302748</c:v>
                </c:pt>
                <c:pt idx="998">
                  <c:v>809.6451793302748</c:v>
                </c:pt>
                <c:pt idx="999">
                  <c:v>809.6451793302748</c:v>
                </c:pt>
                <c:pt idx="1000">
                  <c:v>809.6451793302748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1C6-97FC-918778B11BA0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10.7</c:v>
                </c:pt>
                <c:pt idx="1">
                  <c:v>10.709999999999999</c:v>
                </c:pt>
                <c:pt idx="2">
                  <c:v>10.719999999999999</c:v>
                </c:pt>
                <c:pt idx="3">
                  <c:v>10.729999999999999</c:v>
                </c:pt>
                <c:pt idx="4">
                  <c:v>10.739999999999998</c:v>
                </c:pt>
                <c:pt idx="5">
                  <c:v>10.749999999999998</c:v>
                </c:pt>
                <c:pt idx="6">
                  <c:v>10.759999999999998</c:v>
                </c:pt>
                <c:pt idx="7">
                  <c:v>10.769999999999998</c:v>
                </c:pt>
                <c:pt idx="8">
                  <c:v>10.779999999999998</c:v>
                </c:pt>
                <c:pt idx="9">
                  <c:v>10.789999999999997</c:v>
                </c:pt>
                <c:pt idx="10">
                  <c:v>10.799999999999997</c:v>
                </c:pt>
                <c:pt idx="11">
                  <c:v>10.809999999999997</c:v>
                </c:pt>
                <c:pt idx="12">
                  <c:v>10.819999999999997</c:v>
                </c:pt>
                <c:pt idx="13">
                  <c:v>10.829999999999997</c:v>
                </c:pt>
                <c:pt idx="14">
                  <c:v>10.839999999999996</c:v>
                </c:pt>
                <c:pt idx="15">
                  <c:v>10.849999999999996</c:v>
                </c:pt>
                <c:pt idx="16">
                  <c:v>10.859999999999996</c:v>
                </c:pt>
                <c:pt idx="17">
                  <c:v>10.869999999999996</c:v>
                </c:pt>
                <c:pt idx="18">
                  <c:v>10.879999999999995</c:v>
                </c:pt>
                <c:pt idx="19">
                  <c:v>10.889999999999995</c:v>
                </c:pt>
                <c:pt idx="20">
                  <c:v>10.899999999999995</c:v>
                </c:pt>
                <c:pt idx="21">
                  <c:v>10.909999999999995</c:v>
                </c:pt>
                <c:pt idx="22">
                  <c:v>10.919999999999995</c:v>
                </c:pt>
                <c:pt idx="23">
                  <c:v>10.929999999999994</c:v>
                </c:pt>
                <c:pt idx="24">
                  <c:v>10.939999999999994</c:v>
                </c:pt>
                <c:pt idx="25">
                  <c:v>10.949999999999994</c:v>
                </c:pt>
                <c:pt idx="26">
                  <c:v>10.959999999999994</c:v>
                </c:pt>
                <c:pt idx="27">
                  <c:v>10.969999999999994</c:v>
                </c:pt>
                <c:pt idx="28">
                  <c:v>10.979999999999993</c:v>
                </c:pt>
                <c:pt idx="29">
                  <c:v>10.989999999999993</c:v>
                </c:pt>
                <c:pt idx="30">
                  <c:v>10.999999999999993</c:v>
                </c:pt>
                <c:pt idx="31">
                  <c:v>11.009999999999993</c:v>
                </c:pt>
                <c:pt idx="32">
                  <c:v>11.019999999999992</c:v>
                </c:pt>
                <c:pt idx="33">
                  <c:v>11.029999999999992</c:v>
                </c:pt>
                <c:pt idx="34">
                  <c:v>11.039999999999992</c:v>
                </c:pt>
                <c:pt idx="35">
                  <c:v>11.049999999999992</c:v>
                </c:pt>
                <c:pt idx="36">
                  <c:v>11.059999999999992</c:v>
                </c:pt>
                <c:pt idx="37">
                  <c:v>11.069999999999991</c:v>
                </c:pt>
                <c:pt idx="38">
                  <c:v>11.079999999999991</c:v>
                </c:pt>
                <c:pt idx="39">
                  <c:v>11.089999999999991</c:v>
                </c:pt>
                <c:pt idx="40">
                  <c:v>11.099999999999991</c:v>
                </c:pt>
                <c:pt idx="41">
                  <c:v>11.109999999999991</c:v>
                </c:pt>
                <c:pt idx="42">
                  <c:v>11.11999999999999</c:v>
                </c:pt>
                <c:pt idx="43">
                  <c:v>11.12999999999999</c:v>
                </c:pt>
                <c:pt idx="44">
                  <c:v>11.13999999999999</c:v>
                </c:pt>
                <c:pt idx="45">
                  <c:v>11.14999999999999</c:v>
                </c:pt>
                <c:pt idx="46">
                  <c:v>11.159999999999989</c:v>
                </c:pt>
                <c:pt idx="47">
                  <c:v>11.169999999999989</c:v>
                </c:pt>
                <c:pt idx="48">
                  <c:v>11.179999999999989</c:v>
                </c:pt>
                <c:pt idx="49">
                  <c:v>11.189999999999989</c:v>
                </c:pt>
                <c:pt idx="50">
                  <c:v>11.199999999999989</c:v>
                </c:pt>
                <c:pt idx="51">
                  <c:v>11.209999999999988</c:v>
                </c:pt>
                <c:pt idx="52">
                  <c:v>11.219999999999988</c:v>
                </c:pt>
                <c:pt idx="53">
                  <c:v>11.229999999999988</c:v>
                </c:pt>
                <c:pt idx="54">
                  <c:v>11.239999999999988</c:v>
                </c:pt>
                <c:pt idx="55">
                  <c:v>11.249999999999988</c:v>
                </c:pt>
                <c:pt idx="56">
                  <c:v>11.259999999999987</c:v>
                </c:pt>
                <c:pt idx="57">
                  <c:v>11.269999999999987</c:v>
                </c:pt>
                <c:pt idx="58">
                  <c:v>11.279999999999987</c:v>
                </c:pt>
                <c:pt idx="59">
                  <c:v>11.289999999999987</c:v>
                </c:pt>
                <c:pt idx="60">
                  <c:v>11.299999999999986</c:v>
                </c:pt>
                <c:pt idx="61">
                  <c:v>11.309999999999986</c:v>
                </c:pt>
                <c:pt idx="62">
                  <c:v>11.319999999999986</c:v>
                </c:pt>
                <c:pt idx="63">
                  <c:v>11.329999999999986</c:v>
                </c:pt>
                <c:pt idx="64">
                  <c:v>11.339999999999986</c:v>
                </c:pt>
                <c:pt idx="65">
                  <c:v>11.349999999999985</c:v>
                </c:pt>
                <c:pt idx="66">
                  <c:v>11.359999999999985</c:v>
                </c:pt>
                <c:pt idx="67">
                  <c:v>11.369999999999985</c:v>
                </c:pt>
                <c:pt idx="68">
                  <c:v>11.379999999999985</c:v>
                </c:pt>
                <c:pt idx="69">
                  <c:v>11.389999999999985</c:v>
                </c:pt>
                <c:pt idx="70">
                  <c:v>11.399999999999984</c:v>
                </c:pt>
                <c:pt idx="71">
                  <c:v>11.409999999999984</c:v>
                </c:pt>
                <c:pt idx="72">
                  <c:v>11.419999999999984</c:v>
                </c:pt>
                <c:pt idx="73">
                  <c:v>11.429999999999984</c:v>
                </c:pt>
                <c:pt idx="74">
                  <c:v>11.439999999999984</c:v>
                </c:pt>
                <c:pt idx="75">
                  <c:v>11.449999999999983</c:v>
                </c:pt>
                <c:pt idx="76">
                  <c:v>11.459999999999983</c:v>
                </c:pt>
                <c:pt idx="77">
                  <c:v>11.469999999999983</c:v>
                </c:pt>
                <c:pt idx="78">
                  <c:v>11.479999999999983</c:v>
                </c:pt>
                <c:pt idx="79">
                  <c:v>11.489999999999982</c:v>
                </c:pt>
                <c:pt idx="80">
                  <c:v>11.499999999999982</c:v>
                </c:pt>
                <c:pt idx="81">
                  <c:v>11.509999999999982</c:v>
                </c:pt>
                <c:pt idx="82">
                  <c:v>11.519999999999982</c:v>
                </c:pt>
                <c:pt idx="83">
                  <c:v>11.529999999999982</c:v>
                </c:pt>
                <c:pt idx="84">
                  <c:v>11.539999999999981</c:v>
                </c:pt>
                <c:pt idx="85">
                  <c:v>11.549999999999981</c:v>
                </c:pt>
                <c:pt idx="86">
                  <c:v>11.559999999999981</c:v>
                </c:pt>
                <c:pt idx="87">
                  <c:v>11.569999999999981</c:v>
                </c:pt>
                <c:pt idx="88">
                  <c:v>11.579999999999981</c:v>
                </c:pt>
                <c:pt idx="89">
                  <c:v>11.58999999999998</c:v>
                </c:pt>
                <c:pt idx="90">
                  <c:v>11.59999999999998</c:v>
                </c:pt>
                <c:pt idx="91">
                  <c:v>11.60999999999998</c:v>
                </c:pt>
                <c:pt idx="92">
                  <c:v>11.61999999999998</c:v>
                </c:pt>
                <c:pt idx="93">
                  <c:v>11.629999999999979</c:v>
                </c:pt>
                <c:pt idx="94">
                  <c:v>11.639999999999979</c:v>
                </c:pt>
                <c:pt idx="95">
                  <c:v>11.649999999999979</c:v>
                </c:pt>
                <c:pt idx="96">
                  <c:v>11.659999999999979</c:v>
                </c:pt>
                <c:pt idx="97">
                  <c:v>11.669999999999979</c:v>
                </c:pt>
                <c:pt idx="98">
                  <c:v>11.679999999999978</c:v>
                </c:pt>
                <c:pt idx="99">
                  <c:v>11.689999999999978</c:v>
                </c:pt>
                <c:pt idx="100">
                  <c:v>11.699999999999978</c:v>
                </c:pt>
                <c:pt idx="101">
                  <c:v>11.709999999999978</c:v>
                </c:pt>
                <c:pt idx="102">
                  <c:v>11.719999999999978</c:v>
                </c:pt>
                <c:pt idx="103">
                  <c:v>11.729999999999977</c:v>
                </c:pt>
                <c:pt idx="104">
                  <c:v>11.739999999999977</c:v>
                </c:pt>
                <c:pt idx="105">
                  <c:v>11.749999999999977</c:v>
                </c:pt>
                <c:pt idx="106">
                  <c:v>11.759999999999977</c:v>
                </c:pt>
                <c:pt idx="107">
                  <c:v>11.769999999999976</c:v>
                </c:pt>
                <c:pt idx="108">
                  <c:v>11.779999999999976</c:v>
                </c:pt>
                <c:pt idx="109">
                  <c:v>11.789999999999976</c:v>
                </c:pt>
                <c:pt idx="110">
                  <c:v>11.799999999999976</c:v>
                </c:pt>
                <c:pt idx="111">
                  <c:v>11.809999999999976</c:v>
                </c:pt>
                <c:pt idx="112">
                  <c:v>11.819999999999975</c:v>
                </c:pt>
                <c:pt idx="113">
                  <c:v>11.829999999999975</c:v>
                </c:pt>
                <c:pt idx="114">
                  <c:v>11.839999999999975</c:v>
                </c:pt>
                <c:pt idx="115">
                  <c:v>11.849999999999975</c:v>
                </c:pt>
                <c:pt idx="116">
                  <c:v>11.859999999999975</c:v>
                </c:pt>
                <c:pt idx="117">
                  <c:v>11.869999999999974</c:v>
                </c:pt>
                <c:pt idx="118">
                  <c:v>11.879999999999974</c:v>
                </c:pt>
                <c:pt idx="119">
                  <c:v>11.889999999999974</c:v>
                </c:pt>
                <c:pt idx="120">
                  <c:v>11.899999999999974</c:v>
                </c:pt>
                <c:pt idx="121">
                  <c:v>11.909999999999973</c:v>
                </c:pt>
                <c:pt idx="122">
                  <c:v>11.919999999999973</c:v>
                </c:pt>
                <c:pt idx="123">
                  <c:v>11.929999999999973</c:v>
                </c:pt>
                <c:pt idx="124">
                  <c:v>11.939999999999973</c:v>
                </c:pt>
                <c:pt idx="125">
                  <c:v>11.949999999999973</c:v>
                </c:pt>
                <c:pt idx="126">
                  <c:v>11.959999999999972</c:v>
                </c:pt>
                <c:pt idx="127">
                  <c:v>11.969999999999972</c:v>
                </c:pt>
                <c:pt idx="128">
                  <c:v>11.979999999999972</c:v>
                </c:pt>
                <c:pt idx="129">
                  <c:v>11.989999999999972</c:v>
                </c:pt>
                <c:pt idx="130">
                  <c:v>11.999999999999972</c:v>
                </c:pt>
                <c:pt idx="131">
                  <c:v>12.009999999999971</c:v>
                </c:pt>
                <c:pt idx="132">
                  <c:v>12.019999999999971</c:v>
                </c:pt>
                <c:pt idx="133">
                  <c:v>12.029999999999971</c:v>
                </c:pt>
                <c:pt idx="134">
                  <c:v>12.039999999999971</c:v>
                </c:pt>
                <c:pt idx="135">
                  <c:v>12.049999999999971</c:v>
                </c:pt>
                <c:pt idx="136">
                  <c:v>12.05999999999997</c:v>
                </c:pt>
                <c:pt idx="137">
                  <c:v>12.06999999999997</c:v>
                </c:pt>
                <c:pt idx="138">
                  <c:v>12.07999999999997</c:v>
                </c:pt>
                <c:pt idx="139">
                  <c:v>12.08999999999997</c:v>
                </c:pt>
                <c:pt idx="140">
                  <c:v>12.099999999999969</c:v>
                </c:pt>
                <c:pt idx="141">
                  <c:v>12.109999999999969</c:v>
                </c:pt>
                <c:pt idx="142">
                  <c:v>12.119999999999969</c:v>
                </c:pt>
                <c:pt idx="143">
                  <c:v>12.129999999999969</c:v>
                </c:pt>
                <c:pt idx="144">
                  <c:v>12.139999999999969</c:v>
                </c:pt>
                <c:pt idx="145">
                  <c:v>12.149999999999968</c:v>
                </c:pt>
                <c:pt idx="146">
                  <c:v>12.159999999999968</c:v>
                </c:pt>
                <c:pt idx="147">
                  <c:v>12.169999999999968</c:v>
                </c:pt>
                <c:pt idx="148">
                  <c:v>12.179999999999968</c:v>
                </c:pt>
                <c:pt idx="149">
                  <c:v>12.189999999999968</c:v>
                </c:pt>
                <c:pt idx="150">
                  <c:v>12.199999999999967</c:v>
                </c:pt>
                <c:pt idx="151">
                  <c:v>12.209999999999967</c:v>
                </c:pt>
                <c:pt idx="152">
                  <c:v>12.219999999999967</c:v>
                </c:pt>
                <c:pt idx="153">
                  <c:v>12.229999999999967</c:v>
                </c:pt>
                <c:pt idx="154">
                  <c:v>12.239999999999966</c:v>
                </c:pt>
                <c:pt idx="155">
                  <c:v>12.249999999999966</c:v>
                </c:pt>
                <c:pt idx="156">
                  <c:v>12.259999999999966</c:v>
                </c:pt>
                <c:pt idx="157">
                  <c:v>12.269999999999966</c:v>
                </c:pt>
                <c:pt idx="158">
                  <c:v>12.279999999999966</c:v>
                </c:pt>
                <c:pt idx="159">
                  <c:v>12.289999999999965</c:v>
                </c:pt>
                <c:pt idx="160">
                  <c:v>12.299999999999965</c:v>
                </c:pt>
                <c:pt idx="161">
                  <c:v>12.309999999999965</c:v>
                </c:pt>
                <c:pt idx="162">
                  <c:v>12.319999999999965</c:v>
                </c:pt>
                <c:pt idx="163">
                  <c:v>12.329999999999965</c:v>
                </c:pt>
                <c:pt idx="164">
                  <c:v>12.339999999999964</c:v>
                </c:pt>
                <c:pt idx="165">
                  <c:v>12.349999999999964</c:v>
                </c:pt>
                <c:pt idx="166">
                  <c:v>12.359999999999964</c:v>
                </c:pt>
                <c:pt idx="167">
                  <c:v>12.369999999999964</c:v>
                </c:pt>
                <c:pt idx="168">
                  <c:v>12.379999999999963</c:v>
                </c:pt>
                <c:pt idx="169">
                  <c:v>12.389999999999963</c:v>
                </c:pt>
                <c:pt idx="170">
                  <c:v>12.399999999999963</c:v>
                </c:pt>
                <c:pt idx="171">
                  <c:v>12.409999999999963</c:v>
                </c:pt>
                <c:pt idx="172">
                  <c:v>12.419999999999963</c:v>
                </c:pt>
                <c:pt idx="173">
                  <c:v>12.429999999999962</c:v>
                </c:pt>
                <c:pt idx="174">
                  <c:v>12.439999999999962</c:v>
                </c:pt>
                <c:pt idx="175">
                  <c:v>12.449999999999962</c:v>
                </c:pt>
                <c:pt idx="176">
                  <c:v>12.459999999999962</c:v>
                </c:pt>
                <c:pt idx="177">
                  <c:v>12.469999999999962</c:v>
                </c:pt>
                <c:pt idx="178">
                  <c:v>12.479999999999961</c:v>
                </c:pt>
                <c:pt idx="179">
                  <c:v>12.489999999999961</c:v>
                </c:pt>
                <c:pt idx="180">
                  <c:v>12.499999999999961</c:v>
                </c:pt>
                <c:pt idx="181">
                  <c:v>12.509999999999961</c:v>
                </c:pt>
                <c:pt idx="182">
                  <c:v>12.51999999999996</c:v>
                </c:pt>
                <c:pt idx="183">
                  <c:v>12.52999999999996</c:v>
                </c:pt>
                <c:pt idx="184">
                  <c:v>12.53999999999996</c:v>
                </c:pt>
                <c:pt idx="185">
                  <c:v>12.54999999999996</c:v>
                </c:pt>
                <c:pt idx="186">
                  <c:v>12.55999999999996</c:v>
                </c:pt>
                <c:pt idx="187">
                  <c:v>12.569999999999959</c:v>
                </c:pt>
                <c:pt idx="188">
                  <c:v>12.579999999999959</c:v>
                </c:pt>
                <c:pt idx="189">
                  <c:v>12.589999999999959</c:v>
                </c:pt>
                <c:pt idx="190">
                  <c:v>12.599999999999959</c:v>
                </c:pt>
                <c:pt idx="191">
                  <c:v>12.609999999999959</c:v>
                </c:pt>
                <c:pt idx="192">
                  <c:v>12.619999999999958</c:v>
                </c:pt>
                <c:pt idx="193">
                  <c:v>12.629999999999958</c:v>
                </c:pt>
                <c:pt idx="194">
                  <c:v>12.639999999999958</c:v>
                </c:pt>
                <c:pt idx="195">
                  <c:v>12.649999999999958</c:v>
                </c:pt>
                <c:pt idx="196">
                  <c:v>12.659999999999958</c:v>
                </c:pt>
                <c:pt idx="197">
                  <c:v>12.669999999999957</c:v>
                </c:pt>
                <c:pt idx="198">
                  <c:v>12.679999999999957</c:v>
                </c:pt>
                <c:pt idx="199">
                  <c:v>12.689999999999957</c:v>
                </c:pt>
                <c:pt idx="200">
                  <c:v>12.699999999999957</c:v>
                </c:pt>
                <c:pt idx="201">
                  <c:v>12.799999999999956</c:v>
                </c:pt>
                <c:pt idx="202">
                  <c:v>12.899999999999956</c:v>
                </c:pt>
                <c:pt idx="203">
                  <c:v>12.999999999999956</c:v>
                </c:pt>
                <c:pt idx="204">
                  <c:v>13.099999999999955</c:v>
                </c:pt>
                <c:pt idx="205">
                  <c:v>13.199999999999955</c:v>
                </c:pt>
                <c:pt idx="206">
                  <c:v>13.299999999999955</c:v>
                </c:pt>
                <c:pt idx="207">
                  <c:v>13.399999999999954</c:v>
                </c:pt>
                <c:pt idx="208">
                  <c:v>13.499999999999954</c:v>
                </c:pt>
                <c:pt idx="209">
                  <c:v>13.599999999999953</c:v>
                </c:pt>
                <c:pt idx="210">
                  <c:v>13.699999999999953</c:v>
                </c:pt>
                <c:pt idx="211">
                  <c:v>13.799999999999953</c:v>
                </c:pt>
                <c:pt idx="212">
                  <c:v>13.899999999999952</c:v>
                </c:pt>
                <c:pt idx="213">
                  <c:v>13.999999999999952</c:v>
                </c:pt>
                <c:pt idx="214">
                  <c:v>14.099999999999952</c:v>
                </c:pt>
                <c:pt idx="215">
                  <c:v>14.199999999999951</c:v>
                </c:pt>
                <c:pt idx="216">
                  <c:v>14.299999999999951</c:v>
                </c:pt>
                <c:pt idx="217">
                  <c:v>14.399999999999951</c:v>
                </c:pt>
                <c:pt idx="218">
                  <c:v>14.49999999999995</c:v>
                </c:pt>
                <c:pt idx="219">
                  <c:v>14.59999999999995</c:v>
                </c:pt>
                <c:pt idx="220">
                  <c:v>14.69999999999995</c:v>
                </c:pt>
                <c:pt idx="221">
                  <c:v>14.799999999999949</c:v>
                </c:pt>
                <c:pt idx="222">
                  <c:v>14.899999999999949</c:v>
                </c:pt>
                <c:pt idx="223">
                  <c:v>14.999999999999948</c:v>
                </c:pt>
                <c:pt idx="224">
                  <c:v>15.099999999999948</c:v>
                </c:pt>
                <c:pt idx="225">
                  <c:v>15.199999999999948</c:v>
                </c:pt>
                <c:pt idx="226">
                  <c:v>15.299999999999947</c:v>
                </c:pt>
                <c:pt idx="227">
                  <c:v>15.399999999999947</c:v>
                </c:pt>
                <c:pt idx="228">
                  <c:v>15.499999999999947</c:v>
                </c:pt>
                <c:pt idx="229">
                  <c:v>15.599999999999946</c:v>
                </c:pt>
                <c:pt idx="230">
                  <c:v>15.699999999999946</c:v>
                </c:pt>
                <c:pt idx="231">
                  <c:v>15.799999999999946</c:v>
                </c:pt>
                <c:pt idx="232">
                  <c:v>15.899999999999945</c:v>
                </c:pt>
                <c:pt idx="233">
                  <c:v>15.999999999999945</c:v>
                </c:pt>
                <c:pt idx="234">
                  <c:v>16.099999999999945</c:v>
                </c:pt>
                <c:pt idx="235">
                  <c:v>16.199999999999946</c:v>
                </c:pt>
                <c:pt idx="236">
                  <c:v>16.299999999999947</c:v>
                </c:pt>
                <c:pt idx="237">
                  <c:v>16.399999999999949</c:v>
                </c:pt>
                <c:pt idx="238">
                  <c:v>16.49999999999995</c:v>
                </c:pt>
                <c:pt idx="239">
                  <c:v>16.599999999999952</c:v>
                </c:pt>
                <c:pt idx="240">
                  <c:v>16.699999999999953</c:v>
                </c:pt>
                <c:pt idx="241">
                  <c:v>16.799999999999955</c:v>
                </c:pt>
                <c:pt idx="242">
                  <c:v>16.899999999999956</c:v>
                </c:pt>
                <c:pt idx="243">
                  <c:v>16.999999999999957</c:v>
                </c:pt>
                <c:pt idx="244">
                  <c:v>17.099999999999959</c:v>
                </c:pt>
                <c:pt idx="245">
                  <c:v>17.19999999999996</c:v>
                </c:pt>
                <c:pt idx="246">
                  <c:v>17.299999999999962</c:v>
                </c:pt>
                <c:pt idx="247">
                  <c:v>17.399999999999963</c:v>
                </c:pt>
                <c:pt idx="248">
                  <c:v>17.499999999999964</c:v>
                </c:pt>
                <c:pt idx="249">
                  <c:v>17.599999999999966</c:v>
                </c:pt>
                <c:pt idx="250">
                  <c:v>17.699999999999967</c:v>
                </c:pt>
                <c:pt idx="251">
                  <c:v>17.799999999999969</c:v>
                </c:pt>
                <c:pt idx="252">
                  <c:v>17.89999999999997</c:v>
                </c:pt>
                <c:pt idx="253">
                  <c:v>17.999999999999972</c:v>
                </c:pt>
                <c:pt idx="254">
                  <c:v>18.099999999999973</c:v>
                </c:pt>
                <c:pt idx="255">
                  <c:v>18.199999999999974</c:v>
                </c:pt>
                <c:pt idx="256">
                  <c:v>18.299999999999976</c:v>
                </c:pt>
                <c:pt idx="257">
                  <c:v>18.399999999999977</c:v>
                </c:pt>
                <c:pt idx="258">
                  <c:v>18.499999999999979</c:v>
                </c:pt>
                <c:pt idx="259">
                  <c:v>18.59999999999998</c:v>
                </c:pt>
                <c:pt idx="260">
                  <c:v>18.699999999999982</c:v>
                </c:pt>
                <c:pt idx="261">
                  <c:v>18.799999999999983</c:v>
                </c:pt>
                <c:pt idx="262">
                  <c:v>18.899999999999984</c:v>
                </c:pt>
                <c:pt idx="263">
                  <c:v>18.999999999999986</c:v>
                </c:pt>
                <c:pt idx="264">
                  <c:v>19.099999999999987</c:v>
                </c:pt>
                <c:pt idx="265">
                  <c:v>19.199999999999989</c:v>
                </c:pt>
                <c:pt idx="266">
                  <c:v>19.29999999999999</c:v>
                </c:pt>
                <c:pt idx="267">
                  <c:v>19.399999999999991</c:v>
                </c:pt>
                <c:pt idx="268">
                  <c:v>19.499999999999993</c:v>
                </c:pt>
                <c:pt idx="269">
                  <c:v>19.599999999999994</c:v>
                </c:pt>
                <c:pt idx="270">
                  <c:v>19.699999999999996</c:v>
                </c:pt>
                <c:pt idx="271">
                  <c:v>19.799999999999997</c:v>
                </c:pt>
                <c:pt idx="272">
                  <c:v>19.899999999999999</c:v>
                </c:pt>
                <c:pt idx="273">
                  <c:v>20</c:v>
                </c:pt>
                <c:pt idx="274">
                  <c:v>20.100000000000001</c:v>
                </c:pt>
                <c:pt idx="275">
                  <c:v>20.200000000000003</c:v>
                </c:pt>
                <c:pt idx="276">
                  <c:v>20.300000000000004</c:v>
                </c:pt>
                <c:pt idx="277">
                  <c:v>20.400000000000006</c:v>
                </c:pt>
                <c:pt idx="278">
                  <c:v>20.500000000000007</c:v>
                </c:pt>
                <c:pt idx="279">
                  <c:v>20.600000000000009</c:v>
                </c:pt>
                <c:pt idx="280">
                  <c:v>20.70000000000001</c:v>
                </c:pt>
                <c:pt idx="281">
                  <c:v>20.800000000000011</c:v>
                </c:pt>
                <c:pt idx="282">
                  <c:v>20.900000000000013</c:v>
                </c:pt>
                <c:pt idx="283">
                  <c:v>21.000000000000014</c:v>
                </c:pt>
                <c:pt idx="284">
                  <c:v>21.100000000000016</c:v>
                </c:pt>
                <c:pt idx="285">
                  <c:v>21.200000000000017</c:v>
                </c:pt>
                <c:pt idx="286">
                  <c:v>21.300000000000018</c:v>
                </c:pt>
                <c:pt idx="287">
                  <c:v>21.40000000000002</c:v>
                </c:pt>
                <c:pt idx="288">
                  <c:v>21.500000000000021</c:v>
                </c:pt>
                <c:pt idx="289">
                  <c:v>21.600000000000023</c:v>
                </c:pt>
                <c:pt idx="290">
                  <c:v>21.700000000000024</c:v>
                </c:pt>
                <c:pt idx="291">
                  <c:v>21.800000000000026</c:v>
                </c:pt>
                <c:pt idx="292">
                  <c:v>21.900000000000027</c:v>
                </c:pt>
                <c:pt idx="293">
                  <c:v>22.000000000000028</c:v>
                </c:pt>
                <c:pt idx="294">
                  <c:v>22.10000000000003</c:v>
                </c:pt>
                <c:pt idx="295">
                  <c:v>22.200000000000031</c:v>
                </c:pt>
                <c:pt idx="296">
                  <c:v>22.300000000000033</c:v>
                </c:pt>
                <c:pt idx="297">
                  <c:v>22.400000000000034</c:v>
                </c:pt>
                <c:pt idx="298">
                  <c:v>22.500000000000036</c:v>
                </c:pt>
                <c:pt idx="299">
                  <c:v>22.600000000000037</c:v>
                </c:pt>
                <c:pt idx="300">
                  <c:v>22.700000000000038</c:v>
                </c:pt>
                <c:pt idx="301">
                  <c:v>22.80000000000004</c:v>
                </c:pt>
                <c:pt idx="302">
                  <c:v>22.900000000000041</c:v>
                </c:pt>
                <c:pt idx="303">
                  <c:v>23.000000000000043</c:v>
                </c:pt>
                <c:pt idx="304">
                  <c:v>23.100000000000044</c:v>
                </c:pt>
                <c:pt idx="305">
                  <c:v>23.200000000000045</c:v>
                </c:pt>
                <c:pt idx="306">
                  <c:v>23.300000000000047</c:v>
                </c:pt>
                <c:pt idx="307">
                  <c:v>23.400000000000048</c:v>
                </c:pt>
                <c:pt idx="308">
                  <c:v>23.50000000000005</c:v>
                </c:pt>
                <c:pt idx="309">
                  <c:v>23.600000000000051</c:v>
                </c:pt>
                <c:pt idx="310">
                  <c:v>23.700000000000053</c:v>
                </c:pt>
                <c:pt idx="311">
                  <c:v>23.800000000000054</c:v>
                </c:pt>
                <c:pt idx="312">
                  <c:v>23.900000000000055</c:v>
                </c:pt>
                <c:pt idx="313">
                  <c:v>24.000000000000057</c:v>
                </c:pt>
                <c:pt idx="314">
                  <c:v>24.100000000000058</c:v>
                </c:pt>
                <c:pt idx="315">
                  <c:v>24.20000000000006</c:v>
                </c:pt>
                <c:pt idx="316">
                  <c:v>24.300000000000061</c:v>
                </c:pt>
                <c:pt idx="317">
                  <c:v>24.400000000000063</c:v>
                </c:pt>
                <c:pt idx="318">
                  <c:v>24.500000000000064</c:v>
                </c:pt>
                <c:pt idx="319">
                  <c:v>24.600000000000065</c:v>
                </c:pt>
                <c:pt idx="320">
                  <c:v>24.700000000000067</c:v>
                </c:pt>
                <c:pt idx="321">
                  <c:v>24.800000000000068</c:v>
                </c:pt>
                <c:pt idx="322">
                  <c:v>24.90000000000007</c:v>
                </c:pt>
                <c:pt idx="323">
                  <c:v>25.000000000000071</c:v>
                </c:pt>
                <c:pt idx="324">
                  <c:v>25.100000000000072</c:v>
                </c:pt>
                <c:pt idx="325">
                  <c:v>25.200000000000074</c:v>
                </c:pt>
                <c:pt idx="326">
                  <c:v>25.300000000000075</c:v>
                </c:pt>
                <c:pt idx="327">
                  <c:v>25.400000000000077</c:v>
                </c:pt>
                <c:pt idx="328">
                  <c:v>25.500000000000078</c:v>
                </c:pt>
                <c:pt idx="329">
                  <c:v>25.60000000000008</c:v>
                </c:pt>
                <c:pt idx="330">
                  <c:v>25.700000000000081</c:v>
                </c:pt>
                <c:pt idx="331">
                  <c:v>25.800000000000082</c:v>
                </c:pt>
                <c:pt idx="332">
                  <c:v>25.900000000000084</c:v>
                </c:pt>
                <c:pt idx="333">
                  <c:v>26.000000000000085</c:v>
                </c:pt>
                <c:pt idx="334">
                  <c:v>26.100000000000087</c:v>
                </c:pt>
                <c:pt idx="335">
                  <c:v>26.200000000000088</c:v>
                </c:pt>
                <c:pt idx="336">
                  <c:v>26.30000000000009</c:v>
                </c:pt>
                <c:pt idx="337">
                  <c:v>26.400000000000091</c:v>
                </c:pt>
                <c:pt idx="338">
                  <c:v>26.500000000000092</c:v>
                </c:pt>
                <c:pt idx="339">
                  <c:v>26.600000000000094</c:v>
                </c:pt>
                <c:pt idx="340">
                  <c:v>26.700000000000095</c:v>
                </c:pt>
                <c:pt idx="341">
                  <c:v>26.800000000000097</c:v>
                </c:pt>
                <c:pt idx="342">
                  <c:v>26.900000000000098</c:v>
                </c:pt>
                <c:pt idx="343">
                  <c:v>27.000000000000099</c:v>
                </c:pt>
                <c:pt idx="344">
                  <c:v>27.100000000000101</c:v>
                </c:pt>
                <c:pt idx="345">
                  <c:v>27.200000000000102</c:v>
                </c:pt>
                <c:pt idx="346">
                  <c:v>27.300000000000104</c:v>
                </c:pt>
                <c:pt idx="347">
                  <c:v>27.400000000000105</c:v>
                </c:pt>
                <c:pt idx="348">
                  <c:v>27.500000000000107</c:v>
                </c:pt>
                <c:pt idx="349">
                  <c:v>27.600000000000108</c:v>
                </c:pt>
                <c:pt idx="350">
                  <c:v>27.700000000000109</c:v>
                </c:pt>
                <c:pt idx="351">
                  <c:v>27.800000000000111</c:v>
                </c:pt>
                <c:pt idx="352">
                  <c:v>27.900000000000112</c:v>
                </c:pt>
                <c:pt idx="353">
                  <c:v>28.000000000000114</c:v>
                </c:pt>
                <c:pt idx="354">
                  <c:v>28.100000000000115</c:v>
                </c:pt>
                <c:pt idx="355">
                  <c:v>28.200000000000117</c:v>
                </c:pt>
                <c:pt idx="356">
                  <c:v>28.300000000000118</c:v>
                </c:pt>
                <c:pt idx="357">
                  <c:v>28.400000000000119</c:v>
                </c:pt>
                <c:pt idx="358">
                  <c:v>28.500000000000121</c:v>
                </c:pt>
                <c:pt idx="359">
                  <c:v>28.600000000000122</c:v>
                </c:pt>
                <c:pt idx="360">
                  <c:v>28.700000000000124</c:v>
                </c:pt>
                <c:pt idx="361">
                  <c:v>28.800000000000125</c:v>
                </c:pt>
                <c:pt idx="362">
                  <c:v>28.900000000000126</c:v>
                </c:pt>
                <c:pt idx="363">
                  <c:v>29.000000000000128</c:v>
                </c:pt>
                <c:pt idx="364">
                  <c:v>29.100000000000129</c:v>
                </c:pt>
                <c:pt idx="365">
                  <c:v>29.200000000000131</c:v>
                </c:pt>
                <c:pt idx="366">
                  <c:v>29.300000000000132</c:v>
                </c:pt>
                <c:pt idx="367">
                  <c:v>29.400000000000134</c:v>
                </c:pt>
                <c:pt idx="368">
                  <c:v>29.500000000000135</c:v>
                </c:pt>
                <c:pt idx="369">
                  <c:v>29.600000000000136</c:v>
                </c:pt>
                <c:pt idx="370">
                  <c:v>29.700000000000138</c:v>
                </c:pt>
                <c:pt idx="371">
                  <c:v>29.800000000000139</c:v>
                </c:pt>
                <c:pt idx="372">
                  <c:v>29.900000000000141</c:v>
                </c:pt>
                <c:pt idx="373">
                  <c:v>30.000000000000142</c:v>
                </c:pt>
                <c:pt idx="374">
                  <c:v>30.100000000000144</c:v>
                </c:pt>
                <c:pt idx="375">
                  <c:v>30.200000000000145</c:v>
                </c:pt>
                <c:pt idx="376">
                  <c:v>30.300000000000146</c:v>
                </c:pt>
                <c:pt idx="377">
                  <c:v>30.400000000000148</c:v>
                </c:pt>
                <c:pt idx="378">
                  <c:v>30.500000000000149</c:v>
                </c:pt>
                <c:pt idx="379">
                  <c:v>30.600000000000151</c:v>
                </c:pt>
                <c:pt idx="380">
                  <c:v>30.700000000000152</c:v>
                </c:pt>
                <c:pt idx="381">
                  <c:v>30.800000000000153</c:v>
                </c:pt>
                <c:pt idx="382">
                  <c:v>30.900000000000155</c:v>
                </c:pt>
                <c:pt idx="383">
                  <c:v>31.000000000000156</c:v>
                </c:pt>
                <c:pt idx="384">
                  <c:v>31.100000000000158</c:v>
                </c:pt>
                <c:pt idx="385">
                  <c:v>31.200000000000159</c:v>
                </c:pt>
                <c:pt idx="386">
                  <c:v>31.300000000000161</c:v>
                </c:pt>
                <c:pt idx="387">
                  <c:v>31.400000000000162</c:v>
                </c:pt>
                <c:pt idx="388">
                  <c:v>31.500000000000163</c:v>
                </c:pt>
                <c:pt idx="389">
                  <c:v>31.600000000000165</c:v>
                </c:pt>
                <c:pt idx="390">
                  <c:v>31.700000000000166</c:v>
                </c:pt>
                <c:pt idx="391">
                  <c:v>31.800000000000168</c:v>
                </c:pt>
                <c:pt idx="392">
                  <c:v>31.900000000000169</c:v>
                </c:pt>
                <c:pt idx="393">
                  <c:v>32.000000000000171</c:v>
                </c:pt>
                <c:pt idx="394">
                  <c:v>32.100000000000172</c:v>
                </c:pt>
                <c:pt idx="395">
                  <c:v>32.200000000000173</c:v>
                </c:pt>
                <c:pt idx="396">
                  <c:v>32.300000000000175</c:v>
                </c:pt>
                <c:pt idx="397">
                  <c:v>32.400000000000176</c:v>
                </c:pt>
                <c:pt idx="398">
                  <c:v>32.500000000000178</c:v>
                </c:pt>
                <c:pt idx="399">
                  <c:v>32.600000000000179</c:v>
                </c:pt>
                <c:pt idx="400">
                  <c:v>32.70000000000018</c:v>
                </c:pt>
                <c:pt idx="401">
                  <c:v>32.800000000000182</c:v>
                </c:pt>
                <c:pt idx="402">
                  <c:v>32.900000000000183</c:v>
                </c:pt>
                <c:pt idx="403">
                  <c:v>33.000000000000185</c:v>
                </c:pt>
                <c:pt idx="404">
                  <c:v>33.100000000000186</c:v>
                </c:pt>
                <c:pt idx="405">
                  <c:v>33.200000000000188</c:v>
                </c:pt>
                <c:pt idx="406">
                  <c:v>33.300000000000189</c:v>
                </c:pt>
                <c:pt idx="407">
                  <c:v>33.40000000000019</c:v>
                </c:pt>
                <c:pt idx="408">
                  <c:v>33.500000000000192</c:v>
                </c:pt>
                <c:pt idx="409">
                  <c:v>33.600000000000193</c:v>
                </c:pt>
                <c:pt idx="410">
                  <c:v>33.700000000000195</c:v>
                </c:pt>
                <c:pt idx="411">
                  <c:v>33.800000000000196</c:v>
                </c:pt>
                <c:pt idx="412">
                  <c:v>33.900000000000198</c:v>
                </c:pt>
                <c:pt idx="413">
                  <c:v>34.000000000000199</c:v>
                </c:pt>
                <c:pt idx="414">
                  <c:v>34.1000000000002</c:v>
                </c:pt>
                <c:pt idx="415">
                  <c:v>34.200000000000202</c:v>
                </c:pt>
                <c:pt idx="416">
                  <c:v>34.300000000000203</c:v>
                </c:pt>
                <c:pt idx="417">
                  <c:v>34.400000000000205</c:v>
                </c:pt>
                <c:pt idx="418">
                  <c:v>34.500000000000206</c:v>
                </c:pt>
                <c:pt idx="419">
                  <c:v>34.600000000000207</c:v>
                </c:pt>
                <c:pt idx="420">
                  <c:v>34.700000000000209</c:v>
                </c:pt>
                <c:pt idx="421">
                  <c:v>34.80000000000021</c:v>
                </c:pt>
                <c:pt idx="422">
                  <c:v>34.900000000000212</c:v>
                </c:pt>
                <c:pt idx="423">
                  <c:v>35.000000000000213</c:v>
                </c:pt>
                <c:pt idx="424">
                  <c:v>35.100000000000215</c:v>
                </c:pt>
                <c:pt idx="425">
                  <c:v>35.200000000000216</c:v>
                </c:pt>
                <c:pt idx="426">
                  <c:v>35.300000000000217</c:v>
                </c:pt>
                <c:pt idx="427">
                  <c:v>35.400000000000219</c:v>
                </c:pt>
                <c:pt idx="428">
                  <c:v>35.50000000000022</c:v>
                </c:pt>
                <c:pt idx="429">
                  <c:v>35.600000000000222</c:v>
                </c:pt>
                <c:pt idx="430">
                  <c:v>35.700000000000223</c:v>
                </c:pt>
                <c:pt idx="431">
                  <c:v>35.800000000000225</c:v>
                </c:pt>
                <c:pt idx="432">
                  <c:v>35.900000000000226</c:v>
                </c:pt>
                <c:pt idx="433">
                  <c:v>36.000000000000227</c:v>
                </c:pt>
                <c:pt idx="434">
                  <c:v>36.100000000000229</c:v>
                </c:pt>
                <c:pt idx="435">
                  <c:v>36.20000000000023</c:v>
                </c:pt>
                <c:pt idx="436">
                  <c:v>36.300000000000232</c:v>
                </c:pt>
                <c:pt idx="437">
                  <c:v>36.400000000000233</c:v>
                </c:pt>
                <c:pt idx="438">
                  <c:v>36.500000000000234</c:v>
                </c:pt>
                <c:pt idx="439">
                  <c:v>36.600000000000236</c:v>
                </c:pt>
                <c:pt idx="440">
                  <c:v>36.700000000000237</c:v>
                </c:pt>
                <c:pt idx="441">
                  <c:v>36.800000000000239</c:v>
                </c:pt>
                <c:pt idx="442">
                  <c:v>36.90000000000024</c:v>
                </c:pt>
                <c:pt idx="443">
                  <c:v>37.000000000000242</c:v>
                </c:pt>
                <c:pt idx="444">
                  <c:v>37.100000000000243</c:v>
                </c:pt>
                <c:pt idx="445">
                  <c:v>37.200000000000244</c:v>
                </c:pt>
                <c:pt idx="446">
                  <c:v>37.300000000000246</c:v>
                </c:pt>
                <c:pt idx="447">
                  <c:v>37.400000000000247</c:v>
                </c:pt>
                <c:pt idx="448">
                  <c:v>37.500000000000249</c:v>
                </c:pt>
                <c:pt idx="449">
                  <c:v>37.60000000000025</c:v>
                </c:pt>
                <c:pt idx="450">
                  <c:v>37.700000000000252</c:v>
                </c:pt>
                <c:pt idx="451">
                  <c:v>37.800000000000253</c:v>
                </c:pt>
                <c:pt idx="452">
                  <c:v>37.900000000000254</c:v>
                </c:pt>
                <c:pt idx="453">
                  <c:v>38.000000000000256</c:v>
                </c:pt>
                <c:pt idx="454">
                  <c:v>38.100000000000257</c:v>
                </c:pt>
                <c:pt idx="455">
                  <c:v>38.200000000000259</c:v>
                </c:pt>
                <c:pt idx="456">
                  <c:v>38.30000000000026</c:v>
                </c:pt>
                <c:pt idx="457">
                  <c:v>38.400000000000261</c:v>
                </c:pt>
                <c:pt idx="458">
                  <c:v>38.500000000000263</c:v>
                </c:pt>
                <c:pt idx="459">
                  <c:v>38.600000000000264</c:v>
                </c:pt>
                <c:pt idx="460">
                  <c:v>38.700000000000266</c:v>
                </c:pt>
                <c:pt idx="461">
                  <c:v>38.800000000000267</c:v>
                </c:pt>
                <c:pt idx="462">
                  <c:v>38.900000000000269</c:v>
                </c:pt>
                <c:pt idx="463">
                  <c:v>39.00000000000027</c:v>
                </c:pt>
                <c:pt idx="464">
                  <c:v>39.100000000000271</c:v>
                </c:pt>
                <c:pt idx="465">
                  <c:v>39.200000000000273</c:v>
                </c:pt>
                <c:pt idx="466">
                  <c:v>39.300000000000274</c:v>
                </c:pt>
                <c:pt idx="467">
                  <c:v>39.400000000000276</c:v>
                </c:pt>
                <c:pt idx="468">
                  <c:v>39.500000000000277</c:v>
                </c:pt>
                <c:pt idx="469">
                  <c:v>39.600000000000279</c:v>
                </c:pt>
                <c:pt idx="470">
                  <c:v>39.70000000000028</c:v>
                </c:pt>
                <c:pt idx="471">
                  <c:v>39.800000000000281</c:v>
                </c:pt>
                <c:pt idx="472">
                  <c:v>39.900000000000283</c:v>
                </c:pt>
                <c:pt idx="473">
                  <c:v>40.000000000000284</c:v>
                </c:pt>
                <c:pt idx="474">
                  <c:v>40.100000000000286</c:v>
                </c:pt>
                <c:pt idx="475">
                  <c:v>40.200000000000287</c:v>
                </c:pt>
                <c:pt idx="476">
                  <c:v>40.300000000000288</c:v>
                </c:pt>
                <c:pt idx="477">
                  <c:v>40.40000000000029</c:v>
                </c:pt>
                <c:pt idx="478">
                  <c:v>40.500000000000291</c:v>
                </c:pt>
                <c:pt idx="479">
                  <c:v>40.600000000000293</c:v>
                </c:pt>
                <c:pt idx="480">
                  <c:v>40.700000000000294</c:v>
                </c:pt>
                <c:pt idx="481">
                  <c:v>40.800000000000296</c:v>
                </c:pt>
                <c:pt idx="482">
                  <c:v>40.900000000000297</c:v>
                </c:pt>
                <c:pt idx="483">
                  <c:v>41.000000000000298</c:v>
                </c:pt>
                <c:pt idx="484">
                  <c:v>41.1000000000003</c:v>
                </c:pt>
                <c:pt idx="485">
                  <c:v>41.200000000000301</c:v>
                </c:pt>
                <c:pt idx="486">
                  <c:v>41.300000000000303</c:v>
                </c:pt>
                <c:pt idx="487">
                  <c:v>41.400000000000304</c:v>
                </c:pt>
                <c:pt idx="488">
                  <c:v>41.500000000000306</c:v>
                </c:pt>
                <c:pt idx="489">
                  <c:v>41.600000000000307</c:v>
                </c:pt>
                <c:pt idx="490">
                  <c:v>41.700000000000308</c:v>
                </c:pt>
                <c:pt idx="491">
                  <c:v>41.80000000000031</c:v>
                </c:pt>
                <c:pt idx="492">
                  <c:v>41.900000000000311</c:v>
                </c:pt>
                <c:pt idx="493">
                  <c:v>42.000000000000313</c:v>
                </c:pt>
                <c:pt idx="494">
                  <c:v>42.100000000000314</c:v>
                </c:pt>
                <c:pt idx="495">
                  <c:v>42.200000000000315</c:v>
                </c:pt>
                <c:pt idx="496">
                  <c:v>42.300000000000317</c:v>
                </c:pt>
                <c:pt idx="497">
                  <c:v>42.400000000000318</c:v>
                </c:pt>
                <c:pt idx="498">
                  <c:v>42.50000000000032</c:v>
                </c:pt>
                <c:pt idx="499">
                  <c:v>42.600000000000321</c:v>
                </c:pt>
                <c:pt idx="500">
                  <c:v>42.700000000000323</c:v>
                </c:pt>
                <c:pt idx="501">
                  <c:v>42.800000000000324</c:v>
                </c:pt>
                <c:pt idx="502">
                  <c:v>42.900000000000325</c:v>
                </c:pt>
                <c:pt idx="503">
                  <c:v>43.000000000000327</c:v>
                </c:pt>
                <c:pt idx="504">
                  <c:v>43.100000000000328</c:v>
                </c:pt>
                <c:pt idx="505">
                  <c:v>43.20000000000033</c:v>
                </c:pt>
                <c:pt idx="506">
                  <c:v>43.300000000000331</c:v>
                </c:pt>
                <c:pt idx="507">
                  <c:v>43.400000000000333</c:v>
                </c:pt>
                <c:pt idx="508">
                  <c:v>43.500000000000334</c:v>
                </c:pt>
                <c:pt idx="509">
                  <c:v>43.600000000000335</c:v>
                </c:pt>
                <c:pt idx="510">
                  <c:v>43.700000000000337</c:v>
                </c:pt>
                <c:pt idx="511">
                  <c:v>43.800000000000338</c:v>
                </c:pt>
                <c:pt idx="512">
                  <c:v>43.90000000000034</c:v>
                </c:pt>
                <c:pt idx="513">
                  <c:v>44.000000000000341</c:v>
                </c:pt>
                <c:pt idx="514">
                  <c:v>44.100000000000342</c:v>
                </c:pt>
                <c:pt idx="515">
                  <c:v>44.200000000000344</c:v>
                </c:pt>
                <c:pt idx="516">
                  <c:v>44.300000000000345</c:v>
                </c:pt>
                <c:pt idx="517">
                  <c:v>44.400000000000347</c:v>
                </c:pt>
                <c:pt idx="518">
                  <c:v>44.500000000000348</c:v>
                </c:pt>
                <c:pt idx="519">
                  <c:v>44.60000000000035</c:v>
                </c:pt>
                <c:pt idx="520">
                  <c:v>44.700000000000351</c:v>
                </c:pt>
                <c:pt idx="521">
                  <c:v>44.800000000000352</c:v>
                </c:pt>
                <c:pt idx="522">
                  <c:v>44.900000000000354</c:v>
                </c:pt>
                <c:pt idx="523">
                  <c:v>45.000000000000355</c:v>
                </c:pt>
                <c:pt idx="524">
                  <c:v>45.100000000000357</c:v>
                </c:pt>
                <c:pt idx="525">
                  <c:v>45.200000000000358</c:v>
                </c:pt>
                <c:pt idx="526">
                  <c:v>45.30000000000036</c:v>
                </c:pt>
                <c:pt idx="527">
                  <c:v>45.400000000000361</c:v>
                </c:pt>
                <c:pt idx="528">
                  <c:v>45.500000000000362</c:v>
                </c:pt>
                <c:pt idx="529">
                  <c:v>45.600000000000364</c:v>
                </c:pt>
                <c:pt idx="530">
                  <c:v>45.700000000000365</c:v>
                </c:pt>
                <c:pt idx="531">
                  <c:v>45.800000000000367</c:v>
                </c:pt>
                <c:pt idx="532">
                  <c:v>45.900000000000368</c:v>
                </c:pt>
                <c:pt idx="533">
                  <c:v>46.000000000000369</c:v>
                </c:pt>
                <c:pt idx="534">
                  <c:v>46.100000000000371</c:v>
                </c:pt>
                <c:pt idx="535">
                  <c:v>46.200000000000372</c:v>
                </c:pt>
                <c:pt idx="536">
                  <c:v>46.300000000000374</c:v>
                </c:pt>
                <c:pt idx="537">
                  <c:v>46.400000000000375</c:v>
                </c:pt>
                <c:pt idx="538">
                  <c:v>46.500000000000377</c:v>
                </c:pt>
                <c:pt idx="539">
                  <c:v>46.600000000000378</c:v>
                </c:pt>
                <c:pt idx="540">
                  <c:v>46.700000000000379</c:v>
                </c:pt>
                <c:pt idx="541">
                  <c:v>46.800000000000381</c:v>
                </c:pt>
                <c:pt idx="542">
                  <c:v>46.900000000000382</c:v>
                </c:pt>
                <c:pt idx="543">
                  <c:v>47.000000000000384</c:v>
                </c:pt>
                <c:pt idx="544">
                  <c:v>47.100000000000385</c:v>
                </c:pt>
                <c:pt idx="545">
                  <c:v>47.200000000000387</c:v>
                </c:pt>
                <c:pt idx="546">
                  <c:v>47.300000000000388</c:v>
                </c:pt>
                <c:pt idx="547">
                  <c:v>47.400000000000389</c:v>
                </c:pt>
                <c:pt idx="548">
                  <c:v>47.500000000000391</c:v>
                </c:pt>
                <c:pt idx="549">
                  <c:v>47.600000000000392</c:v>
                </c:pt>
                <c:pt idx="550">
                  <c:v>47.700000000000394</c:v>
                </c:pt>
                <c:pt idx="551">
                  <c:v>47.800000000000395</c:v>
                </c:pt>
                <c:pt idx="552">
                  <c:v>47.900000000000396</c:v>
                </c:pt>
                <c:pt idx="553">
                  <c:v>48.000000000000398</c:v>
                </c:pt>
                <c:pt idx="554">
                  <c:v>48.100000000000399</c:v>
                </c:pt>
                <c:pt idx="555">
                  <c:v>48.200000000000401</c:v>
                </c:pt>
                <c:pt idx="556">
                  <c:v>48.300000000000402</c:v>
                </c:pt>
                <c:pt idx="557">
                  <c:v>48.400000000000404</c:v>
                </c:pt>
                <c:pt idx="558">
                  <c:v>48.500000000000405</c:v>
                </c:pt>
                <c:pt idx="559">
                  <c:v>48.600000000000406</c:v>
                </c:pt>
                <c:pt idx="560">
                  <c:v>48.700000000000408</c:v>
                </c:pt>
                <c:pt idx="561">
                  <c:v>48.800000000000409</c:v>
                </c:pt>
                <c:pt idx="562">
                  <c:v>48.900000000000411</c:v>
                </c:pt>
                <c:pt idx="563">
                  <c:v>49.000000000000412</c:v>
                </c:pt>
                <c:pt idx="564">
                  <c:v>49.100000000000414</c:v>
                </c:pt>
                <c:pt idx="565">
                  <c:v>49.200000000000415</c:v>
                </c:pt>
                <c:pt idx="566">
                  <c:v>49.300000000000416</c:v>
                </c:pt>
                <c:pt idx="567">
                  <c:v>49.400000000000418</c:v>
                </c:pt>
                <c:pt idx="568">
                  <c:v>49.500000000000419</c:v>
                </c:pt>
                <c:pt idx="569">
                  <c:v>49.600000000000421</c:v>
                </c:pt>
                <c:pt idx="570">
                  <c:v>49.700000000000422</c:v>
                </c:pt>
                <c:pt idx="571">
                  <c:v>49.800000000000423</c:v>
                </c:pt>
                <c:pt idx="572">
                  <c:v>49.900000000000425</c:v>
                </c:pt>
                <c:pt idx="573">
                  <c:v>50.000000000000426</c:v>
                </c:pt>
                <c:pt idx="574">
                  <c:v>50.100000000000428</c:v>
                </c:pt>
                <c:pt idx="575">
                  <c:v>50.200000000000429</c:v>
                </c:pt>
                <c:pt idx="576">
                  <c:v>50.300000000000431</c:v>
                </c:pt>
                <c:pt idx="577">
                  <c:v>50.400000000000432</c:v>
                </c:pt>
                <c:pt idx="578">
                  <c:v>50.500000000000433</c:v>
                </c:pt>
                <c:pt idx="579">
                  <c:v>50.600000000000435</c:v>
                </c:pt>
                <c:pt idx="580">
                  <c:v>50.700000000000436</c:v>
                </c:pt>
                <c:pt idx="581">
                  <c:v>50.800000000000438</c:v>
                </c:pt>
                <c:pt idx="582">
                  <c:v>50.900000000000439</c:v>
                </c:pt>
                <c:pt idx="583">
                  <c:v>51.000000000000441</c:v>
                </c:pt>
                <c:pt idx="584">
                  <c:v>51.100000000000442</c:v>
                </c:pt>
                <c:pt idx="585">
                  <c:v>51.200000000000443</c:v>
                </c:pt>
                <c:pt idx="586">
                  <c:v>51.300000000000445</c:v>
                </c:pt>
                <c:pt idx="587">
                  <c:v>51.400000000000446</c:v>
                </c:pt>
                <c:pt idx="588">
                  <c:v>51.500000000000448</c:v>
                </c:pt>
                <c:pt idx="589">
                  <c:v>51.600000000000449</c:v>
                </c:pt>
                <c:pt idx="590">
                  <c:v>51.70000000000045</c:v>
                </c:pt>
                <c:pt idx="591">
                  <c:v>51.800000000000452</c:v>
                </c:pt>
                <c:pt idx="592">
                  <c:v>51.900000000000453</c:v>
                </c:pt>
                <c:pt idx="593">
                  <c:v>52.000000000000455</c:v>
                </c:pt>
                <c:pt idx="594">
                  <c:v>52.100000000000456</c:v>
                </c:pt>
                <c:pt idx="595">
                  <c:v>52.200000000000458</c:v>
                </c:pt>
                <c:pt idx="596">
                  <c:v>52.300000000000459</c:v>
                </c:pt>
                <c:pt idx="597">
                  <c:v>52.40000000000046</c:v>
                </c:pt>
                <c:pt idx="598">
                  <c:v>52.500000000000462</c:v>
                </c:pt>
                <c:pt idx="599">
                  <c:v>52.600000000000463</c:v>
                </c:pt>
                <c:pt idx="600">
                  <c:v>52.700000000000465</c:v>
                </c:pt>
                <c:pt idx="601">
                  <c:v>52.800000000000466</c:v>
                </c:pt>
                <c:pt idx="602">
                  <c:v>52.900000000000468</c:v>
                </c:pt>
                <c:pt idx="603">
                  <c:v>53.000000000000469</c:v>
                </c:pt>
                <c:pt idx="604">
                  <c:v>53.10000000000047</c:v>
                </c:pt>
                <c:pt idx="605">
                  <c:v>53.200000000000472</c:v>
                </c:pt>
                <c:pt idx="606">
                  <c:v>53.300000000000473</c:v>
                </c:pt>
                <c:pt idx="607">
                  <c:v>53.400000000000475</c:v>
                </c:pt>
                <c:pt idx="608">
                  <c:v>53.500000000000476</c:v>
                </c:pt>
                <c:pt idx="609">
                  <c:v>53.600000000000477</c:v>
                </c:pt>
                <c:pt idx="610">
                  <c:v>53.700000000000479</c:v>
                </c:pt>
                <c:pt idx="611">
                  <c:v>53.80000000000048</c:v>
                </c:pt>
                <c:pt idx="612">
                  <c:v>53.900000000000482</c:v>
                </c:pt>
                <c:pt idx="613">
                  <c:v>54.000000000000483</c:v>
                </c:pt>
                <c:pt idx="614">
                  <c:v>54.100000000000485</c:v>
                </c:pt>
                <c:pt idx="615">
                  <c:v>54.200000000000486</c:v>
                </c:pt>
                <c:pt idx="616">
                  <c:v>54.300000000000487</c:v>
                </c:pt>
                <c:pt idx="617">
                  <c:v>54.400000000000489</c:v>
                </c:pt>
                <c:pt idx="618">
                  <c:v>54.50000000000049</c:v>
                </c:pt>
                <c:pt idx="619">
                  <c:v>54.600000000000492</c:v>
                </c:pt>
                <c:pt idx="620">
                  <c:v>54.700000000000493</c:v>
                </c:pt>
                <c:pt idx="621">
                  <c:v>54.800000000000495</c:v>
                </c:pt>
                <c:pt idx="622">
                  <c:v>54.900000000000496</c:v>
                </c:pt>
                <c:pt idx="623">
                  <c:v>55.000000000000497</c:v>
                </c:pt>
                <c:pt idx="624">
                  <c:v>55.100000000000499</c:v>
                </c:pt>
                <c:pt idx="625">
                  <c:v>55.2000000000005</c:v>
                </c:pt>
                <c:pt idx="626">
                  <c:v>55.300000000000502</c:v>
                </c:pt>
                <c:pt idx="627">
                  <c:v>55.400000000000503</c:v>
                </c:pt>
                <c:pt idx="628">
                  <c:v>55.500000000000504</c:v>
                </c:pt>
                <c:pt idx="629">
                  <c:v>55.600000000000506</c:v>
                </c:pt>
                <c:pt idx="630">
                  <c:v>55.700000000000507</c:v>
                </c:pt>
                <c:pt idx="631">
                  <c:v>55.800000000000509</c:v>
                </c:pt>
                <c:pt idx="632">
                  <c:v>55.90000000000051</c:v>
                </c:pt>
                <c:pt idx="633">
                  <c:v>56.000000000000512</c:v>
                </c:pt>
                <c:pt idx="634">
                  <c:v>56.100000000000513</c:v>
                </c:pt>
                <c:pt idx="635">
                  <c:v>56.200000000000514</c:v>
                </c:pt>
                <c:pt idx="636">
                  <c:v>56.300000000000516</c:v>
                </c:pt>
                <c:pt idx="637">
                  <c:v>56.400000000000517</c:v>
                </c:pt>
                <c:pt idx="638">
                  <c:v>56.500000000000519</c:v>
                </c:pt>
                <c:pt idx="639">
                  <c:v>56.60000000000052</c:v>
                </c:pt>
                <c:pt idx="640">
                  <c:v>56.700000000000522</c:v>
                </c:pt>
                <c:pt idx="641">
                  <c:v>56.800000000000523</c:v>
                </c:pt>
                <c:pt idx="642">
                  <c:v>56.900000000000524</c:v>
                </c:pt>
                <c:pt idx="643">
                  <c:v>57.000000000000526</c:v>
                </c:pt>
                <c:pt idx="644">
                  <c:v>57.100000000000527</c:v>
                </c:pt>
                <c:pt idx="645">
                  <c:v>57.200000000000529</c:v>
                </c:pt>
                <c:pt idx="646">
                  <c:v>57.30000000000053</c:v>
                </c:pt>
                <c:pt idx="647">
                  <c:v>57.400000000000531</c:v>
                </c:pt>
                <c:pt idx="648">
                  <c:v>57.500000000000533</c:v>
                </c:pt>
                <c:pt idx="649">
                  <c:v>57.600000000000534</c:v>
                </c:pt>
                <c:pt idx="650">
                  <c:v>57.700000000000536</c:v>
                </c:pt>
                <c:pt idx="651">
                  <c:v>57.800000000000537</c:v>
                </c:pt>
                <c:pt idx="652">
                  <c:v>57.900000000000539</c:v>
                </c:pt>
                <c:pt idx="653">
                  <c:v>58.00000000000054</c:v>
                </c:pt>
                <c:pt idx="654">
                  <c:v>58.000100000000543</c:v>
                </c:pt>
                <c:pt idx="655">
                  <c:v>58.000200000000547</c:v>
                </c:pt>
                <c:pt idx="656">
                  <c:v>58.00030000000055</c:v>
                </c:pt>
                <c:pt idx="657">
                  <c:v>58.000400000000553</c:v>
                </c:pt>
                <c:pt idx="658">
                  <c:v>58.000500000000557</c:v>
                </c:pt>
                <c:pt idx="659">
                  <c:v>58.00060000000056</c:v>
                </c:pt>
                <c:pt idx="660">
                  <c:v>58.000700000000563</c:v>
                </c:pt>
                <c:pt idx="661">
                  <c:v>58.000800000000567</c:v>
                </c:pt>
                <c:pt idx="662">
                  <c:v>58.00090000000057</c:v>
                </c:pt>
                <c:pt idx="663">
                  <c:v>58.001000000000573</c:v>
                </c:pt>
                <c:pt idx="664">
                  <c:v>58.001100000000577</c:v>
                </c:pt>
                <c:pt idx="665">
                  <c:v>58.00120000000058</c:v>
                </c:pt>
                <c:pt idx="666">
                  <c:v>58.001300000000583</c:v>
                </c:pt>
                <c:pt idx="667">
                  <c:v>58.001400000000586</c:v>
                </c:pt>
                <c:pt idx="668">
                  <c:v>58.00150000000059</c:v>
                </c:pt>
                <c:pt idx="669">
                  <c:v>58.001600000000593</c:v>
                </c:pt>
                <c:pt idx="670">
                  <c:v>58.001700000000596</c:v>
                </c:pt>
                <c:pt idx="671">
                  <c:v>58.0018000000006</c:v>
                </c:pt>
                <c:pt idx="672">
                  <c:v>58.001900000000603</c:v>
                </c:pt>
                <c:pt idx="673">
                  <c:v>58.002000000000606</c:v>
                </c:pt>
                <c:pt idx="674">
                  <c:v>58.00210000000061</c:v>
                </c:pt>
                <c:pt idx="675">
                  <c:v>58.002200000000613</c:v>
                </c:pt>
                <c:pt idx="676">
                  <c:v>58.002300000000616</c:v>
                </c:pt>
                <c:pt idx="677">
                  <c:v>58.00240000000062</c:v>
                </c:pt>
                <c:pt idx="678">
                  <c:v>58.002500000000623</c:v>
                </c:pt>
                <c:pt idx="679">
                  <c:v>58.002600000000626</c:v>
                </c:pt>
                <c:pt idx="680">
                  <c:v>58.00270000000063</c:v>
                </c:pt>
                <c:pt idx="681">
                  <c:v>58.002800000000633</c:v>
                </c:pt>
                <c:pt idx="682">
                  <c:v>58.002900000000636</c:v>
                </c:pt>
                <c:pt idx="683">
                  <c:v>58.00300000000064</c:v>
                </c:pt>
                <c:pt idx="684">
                  <c:v>58.003100000000643</c:v>
                </c:pt>
                <c:pt idx="685">
                  <c:v>58.003200000000646</c:v>
                </c:pt>
                <c:pt idx="686">
                  <c:v>58.00330000000065</c:v>
                </c:pt>
                <c:pt idx="687">
                  <c:v>58.003400000000653</c:v>
                </c:pt>
                <c:pt idx="688">
                  <c:v>58.003500000000656</c:v>
                </c:pt>
                <c:pt idx="689">
                  <c:v>58.00360000000066</c:v>
                </c:pt>
                <c:pt idx="690">
                  <c:v>58.003700000000663</c:v>
                </c:pt>
                <c:pt idx="691">
                  <c:v>58.003800000000666</c:v>
                </c:pt>
                <c:pt idx="692">
                  <c:v>58.003900000000669</c:v>
                </c:pt>
                <c:pt idx="693">
                  <c:v>58.004000000000673</c:v>
                </c:pt>
                <c:pt idx="694">
                  <c:v>58.004100000000676</c:v>
                </c:pt>
                <c:pt idx="695">
                  <c:v>58.004200000000679</c:v>
                </c:pt>
                <c:pt idx="696">
                  <c:v>58.004300000000683</c:v>
                </c:pt>
                <c:pt idx="697">
                  <c:v>58.004400000000686</c:v>
                </c:pt>
                <c:pt idx="698">
                  <c:v>58.004500000000689</c:v>
                </c:pt>
                <c:pt idx="699">
                  <c:v>58.004600000000693</c:v>
                </c:pt>
                <c:pt idx="700">
                  <c:v>58.004700000000696</c:v>
                </c:pt>
                <c:pt idx="701">
                  <c:v>58.004800000000699</c:v>
                </c:pt>
                <c:pt idx="702">
                  <c:v>58.004900000000703</c:v>
                </c:pt>
                <c:pt idx="703">
                  <c:v>58.005000000000706</c:v>
                </c:pt>
                <c:pt idx="704">
                  <c:v>58.005100000000709</c:v>
                </c:pt>
                <c:pt idx="705">
                  <c:v>58.005200000000713</c:v>
                </c:pt>
                <c:pt idx="706">
                  <c:v>58.005300000000716</c:v>
                </c:pt>
                <c:pt idx="707">
                  <c:v>58.005400000000719</c:v>
                </c:pt>
                <c:pt idx="708">
                  <c:v>58.005500000000723</c:v>
                </c:pt>
                <c:pt idx="709">
                  <c:v>58.005600000000726</c:v>
                </c:pt>
                <c:pt idx="710">
                  <c:v>58.005700000000729</c:v>
                </c:pt>
                <c:pt idx="711">
                  <c:v>58.005800000000733</c:v>
                </c:pt>
                <c:pt idx="712">
                  <c:v>58.005900000000736</c:v>
                </c:pt>
                <c:pt idx="713">
                  <c:v>58.006000000000739</c:v>
                </c:pt>
                <c:pt idx="714">
                  <c:v>58.006100000000743</c:v>
                </c:pt>
                <c:pt idx="715">
                  <c:v>58.006200000000746</c:v>
                </c:pt>
                <c:pt idx="716">
                  <c:v>58.006300000000749</c:v>
                </c:pt>
                <c:pt idx="717">
                  <c:v>58.006400000000752</c:v>
                </c:pt>
                <c:pt idx="718">
                  <c:v>58.006500000000756</c:v>
                </c:pt>
                <c:pt idx="719">
                  <c:v>58.006600000000759</c:v>
                </c:pt>
                <c:pt idx="720">
                  <c:v>58.006700000000762</c:v>
                </c:pt>
                <c:pt idx="721">
                  <c:v>58.006800000000766</c:v>
                </c:pt>
                <c:pt idx="722">
                  <c:v>58.006900000000769</c:v>
                </c:pt>
                <c:pt idx="723">
                  <c:v>58.007000000000772</c:v>
                </c:pt>
                <c:pt idx="724">
                  <c:v>58.007100000000776</c:v>
                </c:pt>
                <c:pt idx="725">
                  <c:v>58.007200000000779</c:v>
                </c:pt>
                <c:pt idx="726">
                  <c:v>58.007300000000782</c:v>
                </c:pt>
                <c:pt idx="727">
                  <c:v>58.007400000000786</c:v>
                </c:pt>
                <c:pt idx="728">
                  <c:v>58.007500000000789</c:v>
                </c:pt>
                <c:pt idx="729">
                  <c:v>58.007600000000792</c:v>
                </c:pt>
                <c:pt idx="730">
                  <c:v>58.007700000000796</c:v>
                </c:pt>
                <c:pt idx="731">
                  <c:v>58.007800000000799</c:v>
                </c:pt>
                <c:pt idx="732">
                  <c:v>58.007900000000802</c:v>
                </c:pt>
                <c:pt idx="733">
                  <c:v>58.008000000000806</c:v>
                </c:pt>
                <c:pt idx="734">
                  <c:v>58.008100000000809</c:v>
                </c:pt>
                <c:pt idx="735">
                  <c:v>58.008200000000812</c:v>
                </c:pt>
                <c:pt idx="736">
                  <c:v>58.008300000000816</c:v>
                </c:pt>
                <c:pt idx="737">
                  <c:v>58.008400000000819</c:v>
                </c:pt>
                <c:pt idx="738">
                  <c:v>58.008500000000822</c:v>
                </c:pt>
                <c:pt idx="739">
                  <c:v>58.008600000000826</c:v>
                </c:pt>
                <c:pt idx="740">
                  <c:v>58.008700000000829</c:v>
                </c:pt>
                <c:pt idx="741">
                  <c:v>58.008800000000832</c:v>
                </c:pt>
                <c:pt idx="742">
                  <c:v>58.008900000000835</c:v>
                </c:pt>
                <c:pt idx="743">
                  <c:v>58.009000000000839</c:v>
                </c:pt>
                <c:pt idx="744">
                  <c:v>58.009100000000842</c:v>
                </c:pt>
                <c:pt idx="745">
                  <c:v>58.009200000000845</c:v>
                </c:pt>
                <c:pt idx="746">
                  <c:v>58.009300000000849</c:v>
                </c:pt>
                <c:pt idx="747">
                  <c:v>58.009400000000852</c:v>
                </c:pt>
                <c:pt idx="748">
                  <c:v>58.009500000000855</c:v>
                </c:pt>
                <c:pt idx="749">
                  <c:v>58.009600000000859</c:v>
                </c:pt>
                <c:pt idx="750">
                  <c:v>58.009700000000862</c:v>
                </c:pt>
                <c:pt idx="751">
                  <c:v>58.009800000000865</c:v>
                </c:pt>
                <c:pt idx="752">
                  <c:v>58.009900000000869</c:v>
                </c:pt>
                <c:pt idx="753">
                  <c:v>58.010000000000872</c:v>
                </c:pt>
                <c:pt idx="754">
                  <c:v>58.010100000000875</c:v>
                </c:pt>
                <c:pt idx="755">
                  <c:v>58.010200000000879</c:v>
                </c:pt>
                <c:pt idx="756">
                  <c:v>58.010300000000882</c:v>
                </c:pt>
                <c:pt idx="757">
                  <c:v>58.010400000000885</c:v>
                </c:pt>
                <c:pt idx="758">
                  <c:v>58.010500000000889</c:v>
                </c:pt>
                <c:pt idx="759">
                  <c:v>58.010600000000892</c:v>
                </c:pt>
                <c:pt idx="760">
                  <c:v>58.010700000000895</c:v>
                </c:pt>
                <c:pt idx="761">
                  <c:v>58.010800000000899</c:v>
                </c:pt>
                <c:pt idx="762">
                  <c:v>58.010900000000902</c:v>
                </c:pt>
                <c:pt idx="763">
                  <c:v>58.011000000000905</c:v>
                </c:pt>
                <c:pt idx="764">
                  <c:v>58.011100000000908</c:v>
                </c:pt>
                <c:pt idx="765">
                  <c:v>58.011200000000912</c:v>
                </c:pt>
                <c:pt idx="766">
                  <c:v>58.011300000000915</c:v>
                </c:pt>
                <c:pt idx="767">
                  <c:v>58.011400000000918</c:v>
                </c:pt>
                <c:pt idx="768">
                  <c:v>58.011500000000922</c:v>
                </c:pt>
                <c:pt idx="769">
                  <c:v>58.011600000000925</c:v>
                </c:pt>
                <c:pt idx="770">
                  <c:v>58.011700000000928</c:v>
                </c:pt>
                <c:pt idx="771">
                  <c:v>58.011800000000932</c:v>
                </c:pt>
                <c:pt idx="772">
                  <c:v>58.011900000000935</c:v>
                </c:pt>
                <c:pt idx="773">
                  <c:v>58.012000000000938</c:v>
                </c:pt>
                <c:pt idx="774">
                  <c:v>58.012100000000942</c:v>
                </c:pt>
                <c:pt idx="775">
                  <c:v>58.012200000000945</c:v>
                </c:pt>
                <c:pt idx="776">
                  <c:v>58.012300000000948</c:v>
                </c:pt>
                <c:pt idx="777">
                  <c:v>58.012400000000952</c:v>
                </c:pt>
                <c:pt idx="778">
                  <c:v>58.012500000000955</c:v>
                </c:pt>
                <c:pt idx="779">
                  <c:v>58.012600000000958</c:v>
                </c:pt>
                <c:pt idx="780">
                  <c:v>58.012700000000962</c:v>
                </c:pt>
                <c:pt idx="781">
                  <c:v>58.012800000000965</c:v>
                </c:pt>
                <c:pt idx="782">
                  <c:v>58.012900000000968</c:v>
                </c:pt>
                <c:pt idx="783">
                  <c:v>58.013000000000972</c:v>
                </c:pt>
                <c:pt idx="784">
                  <c:v>58.013100000000975</c:v>
                </c:pt>
                <c:pt idx="785">
                  <c:v>58.013200000000978</c:v>
                </c:pt>
                <c:pt idx="786">
                  <c:v>58.013300000000982</c:v>
                </c:pt>
                <c:pt idx="787">
                  <c:v>58.013400000000985</c:v>
                </c:pt>
                <c:pt idx="788">
                  <c:v>58.013500000000988</c:v>
                </c:pt>
                <c:pt idx="789">
                  <c:v>58.013600000000991</c:v>
                </c:pt>
                <c:pt idx="790">
                  <c:v>58.013700000000995</c:v>
                </c:pt>
                <c:pt idx="791">
                  <c:v>58.013800000000998</c:v>
                </c:pt>
                <c:pt idx="792">
                  <c:v>58.013900000001001</c:v>
                </c:pt>
                <c:pt idx="793">
                  <c:v>58.014000000001005</c:v>
                </c:pt>
                <c:pt idx="794">
                  <c:v>58.014100000001008</c:v>
                </c:pt>
                <c:pt idx="795">
                  <c:v>58.014200000001011</c:v>
                </c:pt>
                <c:pt idx="796">
                  <c:v>58.014300000001015</c:v>
                </c:pt>
                <c:pt idx="797">
                  <c:v>58.014400000001018</c:v>
                </c:pt>
                <c:pt idx="798">
                  <c:v>58.014500000001021</c:v>
                </c:pt>
                <c:pt idx="799">
                  <c:v>58.014600000001025</c:v>
                </c:pt>
                <c:pt idx="800">
                  <c:v>58.014700000001028</c:v>
                </c:pt>
                <c:pt idx="801">
                  <c:v>58.014800000001031</c:v>
                </c:pt>
                <c:pt idx="802">
                  <c:v>58.014900000001035</c:v>
                </c:pt>
                <c:pt idx="803">
                  <c:v>58.015000000001038</c:v>
                </c:pt>
                <c:pt idx="804">
                  <c:v>58.015100000001041</c:v>
                </c:pt>
                <c:pt idx="805">
                  <c:v>58.015200000001045</c:v>
                </c:pt>
                <c:pt idx="806">
                  <c:v>58.015300000001048</c:v>
                </c:pt>
                <c:pt idx="807">
                  <c:v>58.015400000001051</c:v>
                </c:pt>
                <c:pt idx="808">
                  <c:v>58.015500000001055</c:v>
                </c:pt>
                <c:pt idx="809">
                  <c:v>58.015600000001058</c:v>
                </c:pt>
                <c:pt idx="810">
                  <c:v>58.015700000001061</c:v>
                </c:pt>
                <c:pt idx="811">
                  <c:v>58.015800000001065</c:v>
                </c:pt>
                <c:pt idx="812">
                  <c:v>58.015900000001068</c:v>
                </c:pt>
                <c:pt idx="813">
                  <c:v>58.016000000001071</c:v>
                </c:pt>
                <c:pt idx="814">
                  <c:v>58.016100000001074</c:v>
                </c:pt>
                <c:pt idx="815">
                  <c:v>58.016200000001078</c:v>
                </c:pt>
                <c:pt idx="816">
                  <c:v>58.016300000001081</c:v>
                </c:pt>
                <c:pt idx="817">
                  <c:v>58.016400000001084</c:v>
                </c:pt>
                <c:pt idx="818">
                  <c:v>58.016500000001088</c:v>
                </c:pt>
                <c:pt idx="819">
                  <c:v>58.016600000001091</c:v>
                </c:pt>
                <c:pt idx="820">
                  <c:v>58.016700000001094</c:v>
                </c:pt>
                <c:pt idx="821">
                  <c:v>58.016800000001098</c:v>
                </c:pt>
                <c:pt idx="822">
                  <c:v>58.016900000001101</c:v>
                </c:pt>
                <c:pt idx="823">
                  <c:v>58.017000000001104</c:v>
                </c:pt>
                <c:pt idx="824">
                  <c:v>58.017100000001108</c:v>
                </c:pt>
                <c:pt idx="825">
                  <c:v>58.017200000001111</c:v>
                </c:pt>
                <c:pt idx="826">
                  <c:v>58.017300000001114</c:v>
                </c:pt>
                <c:pt idx="827">
                  <c:v>58.017400000001118</c:v>
                </c:pt>
                <c:pt idx="828">
                  <c:v>58.017500000001121</c:v>
                </c:pt>
                <c:pt idx="829">
                  <c:v>58.017600000001124</c:v>
                </c:pt>
                <c:pt idx="830">
                  <c:v>58.017700000001128</c:v>
                </c:pt>
                <c:pt idx="831">
                  <c:v>58.017800000001131</c:v>
                </c:pt>
                <c:pt idx="832">
                  <c:v>58.017900000001134</c:v>
                </c:pt>
                <c:pt idx="833">
                  <c:v>58.018000000001138</c:v>
                </c:pt>
                <c:pt idx="834">
                  <c:v>58.018100000001141</c:v>
                </c:pt>
                <c:pt idx="835">
                  <c:v>58.018200000001144</c:v>
                </c:pt>
                <c:pt idx="836">
                  <c:v>58.018300000001148</c:v>
                </c:pt>
                <c:pt idx="837">
                  <c:v>58.018400000001151</c:v>
                </c:pt>
                <c:pt idx="838">
                  <c:v>58.018500000001154</c:v>
                </c:pt>
                <c:pt idx="839">
                  <c:v>58.018600000001157</c:v>
                </c:pt>
                <c:pt idx="840">
                  <c:v>58.018700000001161</c:v>
                </c:pt>
                <c:pt idx="841">
                  <c:v>58.018800000001164</c:v>
                </c:pt>
                <c:pt idx="842">
                  <c:v>58.018900000001167</c:v>
                </c:pt>
                <c:pt idx="843">
                  <c:v>58.019000000001171</c:v>
                </c:pt>
                <c:pt idx="844">
                  <c:v>58.019100000001174</c:v>
                </c:pt>
                <c:pt idx="845">
                  <c:v>58.019200000001177</c:v>
                </c:pt>
                <c:pt idx="846">
                  <c:v>58.019300000001181</c:v>
                </c:pt>
                <c:pt idx="847">
                  <c:v>58.019400000001184</c:v>
                </c:pt>
                <c:pt idx="848">
                  <c:v>58.019500000001187</c:v>
                </c:pt>
                <c:pt idx="849">
                  <c:v>58.019600000001191</c:v>
                </c:pt>
                <c:pt idx="850">
                  <c:v>58.019700000001194</c:v>
                </c:pt>
                <c:pt idx="851">
                  <c:v>58.019800000001197</c:v>
                </c:pt>
                <c:pt idx="852">
                  <c:v>58.019900000001201</c:v>
                </c:pt>
                <c:pt idx="853">
                  <c:v>58.020000000001204</c:v>
                </c:pt>
                <c:pt idx="854">
                  <c:v>58.020100000001207</c:v>
                </c:pt>
                <c:pt idx="855">
                  <c:v>58.020200000001211</c:v>
                </c:pt>
                <c:pt idx="856">
                  <c:v>58.020300000001214</c:v>
                </c:pt>
                <c:pt idx="857">
                  <c:v>58.020400000001217</c:v>
                </c:pt>
                <c:pt idx="858">
                  <c:v>58.020500000001221</c:v>
                </c:pt>
                <c:pt idx="859">
                  <c:v>58.020600000001224</c:v>
                </c:pt>
                <c:pt idx="860">
                  <c:v>58.020700000001227</c:v>
                </c:pt>
                <c:pt idx="861">
                  <c:v>58.020800000001231</c:v>
                </c:pt>
                <c:pt idx="862">
                  <c:v>58.020900000001234</c:v>
                </c:pt>
                <c:pt idx="863">
                  <c:v>58.021000000001237</c:v>
                </c:pt>
                <c:pt idx="864">
                  <c:v>58.02110000000124</c:v>
                </c:pt>
                <c:pt idx="865">
                  <c:v>58.021200000001244</c:v>
                </c:pt>
                <c:pt idx="866">
                  <c:v>58.021300000001247</c:v>
                </c:pt>
                <c:pt idx="867">
                  <c:v>58.02140000000125</c:v>
                </c:pt>
                <c:pt idx="868">
                  <c:v>58.021500000001254</c:v>
                </c:pt>
                <c:pt idx="869">
                  <c:v>58.021600000001257</c:v>
                </c:pt>
                <c:pt idx="870">
                  <c:v>58.02170000000126</c:v>
                </c:pt>
                <c:pt idx="871">
                  <c:v>58.021800000001264</c:v>
                </c:pt>
                <c:pt idx="872">
                  <c:v>58.021900000001267</c:v>
                </c:pt>
                <c:pt idx="873">
                  <c:v>58.02200000000127</c:v>
                </c:pt>
                <c:pt idx="874">
                  <c:v>58.022100000001274</c:v>
                </c:pt>
                <c:pt idx="875">
                  <c:v>58.022200000001277</c:v>
                </c:pt>
                <c:pt idx="876">
                  <c:v>58.02230000000128</c:v>
                </c:pt>
                <c:pt idx="877">
                  <c:v>58.022400000001284</c:v>
                </c:pt>
                <c:pt idx="878">
                  <c:v>58.022500000001287</c:v>
                </c:pt>
                <c:pt idx="879">
                  <c:v>58.02260000000129</c:v>
                </c:pt>
                <c:pt idx="880">
                  <c:v>58.022700000001294</c:v>
                </c:pt>
                <c:pt idx="881">
                  <c:v>58.022800000001297</c:v>
                </c:pt>
                <c:pt idx="882">
                  <c:v>58.0229000000013</c:v>
                </c:pt>
                <c:pt idx="883">
                  <c:v>58.023000000001304</c:v>
                </c:pt>
                <c:pt idx="884">
                  <c:v>58.023100000001307</c:v>
                </c:pt>
                <c:pt idx="885">
                  <c:v>58.02320000000131</c:v>
                </c:pt>
                <c:pt idx="886">
                  <c:v>58.023300000001313</c:v>
                </c:pt>
                <c:pt idx="887">
                  <c:v>58.023400000001317</c:v>
                </c:pt>
                <c:pt idx="888">
                  <c:v>58.02350000000132</c:v>
                </c:pt>
                <c:pt idx="889">
                  <c:v>58.023600000001323</c:v>
                </c:pt>
                <c:pt idx="890">
                  <c:v>58.023700000001327</c:v>
                </c:pt>
                <c:pt idx="891">
                  <c:v>58.02380000000133</c:v>
                </c:pt>
                <c:pt idx="892">
                  <c:v>58.023900000001333</c:v>
                </c:pt>
                <c:pt idx="893">
                  <c:v>58.024000000001337</c:v>
                </c:pt>
                <c:pt idx="894">
                  <c:v>58.02410000000134</c:v>
                </c:pt>
                <c:pt idx="895">
                  <c:v>58.024200000001343</c:v>
                </c:pt>
                <c:pt idx="896">
                  <c:v>58.024300000001347</c:v>
                </c:pt>
                <c:pt idx="897">
                  <c:v>58.02440000000135</c:v>
                </c:pt>
                <c:pt idx="898">
                  <c:v>58.024500000001353</c:v>
                </c:pt>
                <c:pt idx="899">
                  <c:v>58.024600000001357</c:v>
                </c:pt>
                <c:pt idx="900">
                  <c:v>58.02470000000136</c:v>
                </c:pt>
                <c:pt idx="901">
                  <c:v>58.024800000001363</c:v>
                </c:pt>
                <c:pt idx="902">
                  <c:v>58.024900000001367</c:v>
                </c:pt>
                <c:pt idx="903">
                  <c:v>58.02500000000137</c:v>
                </c:pt>
                <c:pt idx="904">
                  <c:v>58.025100000001373</c:v>
                </c:pt>
                <c:pt idx="905">
                  <c:v>58.025200000001377</c:v>
                </c:pt>
                <c:pt idx="906">
                  <c:v>58.02530000000138</c:v>
                </c:pt>
                <c:pt idx="907">
                  <c:v>58.025400000001383</c:v>
                </c:pt>
                <c:pt idx="908">
                  <c:v>58.025500000001387</c:v>
                </c:pt>
                <c:pt idx="909">
                  <c:v>58.02560000000139</c:v>
                </c:pt>
                <c:pt idx="910">
                  <c:v>58.025700000001393</c:v>
                </c:pt>
                <c:pt idx="911">
                  <c:v>58.025800000001396</c:v>
                </c:pt>
                <c:pt idx="912">
                  <c:v>58.0259000000014</c:v>
                </c:pt>
                <c:pt idx="913">
                  <c:v>58.026000000001403</c:v>
                </c:pt>
                <c:pt idx="914">
                  <c:v>58.026100000001406</c:v>
                </c:pt>
                <c:pt idx="915">
                  <c:v>58.02620000000141</c:v>
                </c:pt>
                <c:pt idx="916">
                  <c:v>58.026300000001413</c:v>
                </c:pt>
                <c:pt idx="917">
                  <c:v>58.026400000001416</c:v>
                </c:pt>
                <c:pt idx="918">
                  <c:v>58.02650000000142</c:v>
                </c:pt>
                <c:pt idx="919">
                  <c:v>58.026600000001423</c:v>
                </c:pt>
                <c:pt idx="920">
                  <c:v>58.026700000001426</c:v>
                </c:pt>
                <c:pt idx="921">
                  <c:v>58.02680000000143</c:v>
                </c:pt>
                <c:pt idx="922">
                  <c:v>58.026900000001433</c:v>
                </c:pt>
                <c:pt idx="923">
                  <c:v>58.027000000001436</c:v>
                </c:pt>
                <c:pt idx="924">
                  <c:v>58.02710000000144</c:v>
                </c:pt>
                <c:pt idx="925">
                  <c:v>58.027200000001443</c:v>
                </c:pt>
                <c:pt idx="926">
                  <c:v>58.027300000001446</c:v>
                </c:pt>
                <c:pt idx="927">
                  <c:v>58.02740000000145</c:v>
                </c:pt>
                <c:pt idx="928">
                  <c:v>58.027500000001453</c:v>
                </c:pt>
                <c:pt idx="929">
                  <c:v>58.027600000001456</c:v>
                </c:pt>
                <c:pt idx="930">
                  <c:v>58.02770000000146</c:v>
                </c:pt>
                <c:pt idx="931">
                  <c:v>58.027800000001463</c:v>
                </c:pt>
                <c:pt idx="932">
                  <c:v>58.027900000001466</c:v>
                </c:pt>
                <c:pt idx="933">
                  <c:v>58.02800000000147</c:v>
                </c:pt>
                <c:pt idx="934">
                  <c:v>58.028100000001473</c:v>
                </c:pt>
                <c:pt idx="935">
                  <c:v>58.028200000001476</c:v>
                </c:pt>
                <c:pt idx="936">
                  <c:v>58.028300000001479</c:v>
                </c:pt>
                <c:pt idx="937">
                  <c:v>58.028400000001483</c:v>
                </c:pt>
                <c:pt idx="938">
                  <c:v>58.028500000001486</c:v>
                </c:pt>
                <c:pt idx="939">
                  <c:v>58.028600000001489</c:v>
                </c:pt>
                <c:pt idx="940">
                  <c:v>58.028700000001493</c:v>
                </c:pt>
                <c:pt idx="941">
                  <c:v>58.028800000001496</c:v>
                </c:pt>
                <c:pt idx="942">
                  <c:v>58.028900000001499</c:v>
                </c:pt>
                <c:pt idx="943">
                  <c:v>58.029000000001503</c:v>
                </c:pt>
                <c:pt idx="944">
                  <c:v>58.029100000001506</c:v>
                </c:pt>
                <c:pt idx="945">
                  <c:v>58.029200000001509</c:v>
                </c:pt>
                <c:pt idx="946">
                  <c:v>58.029300000001513</c:v>
                </c:pt>
                <c:pt idx="947">
                  <c:v>58.029400000001516</c:v>
                </c:pt>
                <c:pt idx="948">
                  <c:v>58.029500000001519</c:v>
                </c:pt>
                <c:pt idx="949">
                  <c:v>58.029600000001523</c:v>
                </c:pt>
                <c:pt idx="950">
                  <c:v>58.029700000001526</c:v>
                </c:pt>
                <c:pt idx="951">
                  <c:v>58.029800000001529</c:v>
                </c:pt>
                <c:pt idx="952">
                  <c:v>58.029900000001533</c:v>
                </c:pt>
                <c:pt idx="953">
                  <c:v>58.030000000001536</c:v>
                </c:pt>
                <c:pt idx="954">
                  <c:v>58.030100000001539</c:v>
                </c:pt>
                <c:pt idx="955">
                  <c:v>58.030200000001543</c:v>
                </c:pt>
                <c:pt idx="956">
                  <c:v>58.030300000001546</c:v>
                </c:pt>
                <c:pt idx="957">
                  <c:v>58.030400000001549</c:v>
                </c:pt>
                <c:pt idx="958">
                  <c:v>58.030500000001553</c:v>
                </c:pt>
                <c:pt idx="959">
                  <c:v>58.030600000001556</c:v>
                </c:pt>
                <c:pt idx="960">
                  <c:v>58.030700000001559</c:v>
                </c:pt>
                <c:pt idx="961">
                  <c:v>58.030800000001562</c:v>
                </c:pt>
                <c:pt idx="962">
                  <c:v>58.030900000001566</c:v>
                </c:pt>
                <c:pt idx="963">
                  <c:v>58.031000000001569</c:v>
                </c:pt>
                <c:pt idx="964">
                  <c:v>58.031100000001572</c:v>
                </c:pt>
                <c:pt idx="965">
                  <c:v>58.031200000001576</c:v>
                </c:pt>
                <c:pt idx="966">
                  <c:v>58.031300000001579</c:v>
                </c:pt>
                <c:pt idx="967">
                  <c:v>58.031400000001582</c:v>
                </c:pt>
                <c:pt idx="968">
                  <c:v>58.031500000001586</c:v>
                </c:pt>
                <c:pt idx="969">
                  <c:v>58.031600000001589</c:v>
                </c:pt>
                <c:pt idx="970">
                  <c:v>58.031700000001592</c:v>
                </c:pt>
                <c:pt idx="971">
                  <c:v>58.031800000001596</c:v>
                </c:pt>
                <c:pt idx="972">
                  <c:v>58.031900000001599</c:v>
                </c:pt>
                <c:pt idx="973">
                  <c:v>58.032000000001602</c:v>
                </c:pt>
                <c:pt idx="974">
                  <c:v>58.032100000001606</c:v>
                </c:pt>
                <c:pt idx="975">
                  <c:v>58.032200000001609</c:v>
                </c:pt>
                <c:pt idx="976">
                  <c:v>58.032300000001612</c:v>
                </c:pt>
                <c:pt idx="977">
                  <c:v>58.032400000001616</c:v>
                </c:pt>
                <c:pt idx="978">
                  <c:v>58.032500000001619</c:v>
                </c:pt>
                <c:pt idx="979">
                  <c:v>58.032600000001622</c:v>
                </c:pt>
                <c:pt idx="980">
                  <c:v>58.032700000001626</c:v>
                </c:pt>
                <c:pt idx="981">
                  <c:v>58.032800000001629</c:v>
                </c:pt>
                <c:pt idx="982">
                  <c:v>58.032900000001632</c:v>
                </c:pt>
                <c:pt idx="983">
                  <c:v>58.033000000001635</c:v>
                </c:pt>
                <c:pt idx="984">
                  <c:v>58.033100000001639</c:v>
                </c:pt>
                <c:pt idx="985">
                  <c:v>58.033200000001642</c:v>
                </c:pt>
                <c:pt idx="986">
                  <c:v>58.033300000001645</c:v>
                </c:pt>
                <c:pt idx="987">
                  <c:v>58.033400000001649</c:v>
                </c:pt>
                <c:pt idx="988">
                  <c:v>58.033500000001652</c:v>
                </c:pt>
                <c:pt idx="989">
                  <c:v>58.033600000001655</c:v>
                </c:pt>
                <c:pt idx="990">
                  <c:v>58.033700000001659</c:v>
                </c:pt>
                <c:pt idx="991">
                  <c:v>58.033800000001662</c:v>
                </c:pt>
                <c:pt idx="992">
                  <c:v>58.033900000001665</c:v>
                </c:pt>
                <c:pt idx="993">
                  <c:v>58.034000000001669</c:v>
                </c:pt>
                <c:pt idx="994">
                  <c:v>58.034100000001672</c:v>
                </c:pt>
                <c:pt idx="995">
                  <c:v>58.034200000001675</c:v>
                </c:pt>
                <c:pt idx="996">
                  <c:v>58.034300000001679</c:v>
                </c:pt>
                <c:pt idx="997">
                  <c:v>58.034400000001682</c:v>
                </c:pt>
                <c:pt idx="998">
                  <c:v>58.034500000001685</c:v>
                </c:pt>
                <c:pt idx="999">
                  <c:v>58.034600000001689</c:v>
                </c:pt>
                <c:pt idx="1000">
                  <c:v>58.034700000001692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1962.62</c:v>
                </c:pt>
                <c:pt idx="1">
                  <c:v>1963.9806538918265</c:v>
                </c:pt>
                <c:pt idx="2">
                  <c:v>1965.3455972539793</c:v>
                </c:pt>
                <c:pt idx="3">
                  <c:v>1966.7195364389404</c:v>
                </c:pt>
                <c:pt idx="4">
                  <c:v>1968.1033224866821</c:v>
                </c:pt>
                <c:pt idx="5">
                  <c:v>1969.4961331891184</c:v>
                </c:pt>
                <c:pt idx="6">
                  <c:v>1970.8976557335484</c:v>
                </c:pt>
                <c:pt idx="7">
                  <c:v>1972.3078320156094</c:v>
                </c:pt>
                <c:pt idx="8">
                  <c:v>1973.7266038553894</c:v>
                </c:pt>
                <c:pt idx="9">
                  <c:v>1975.1539130001163</c:v>
                </c:pt>
                <c:pt idx="10">
                  <c:v>1976.5897011268357</c:v>
                </c:pt>
                <c:pt idx="11">
                  <c:v>1978.0339098450788</c:v>
                </c:pt>
                <c:pt idx="12">
                  <c:v>1979.4864806995183</c:v>
                </c:pt>
                <c:pt idx="13">
                  <c:v>1980.9473551726142</c:v>
                </c:pt>
                <c:pt idx="14">
                  <c:v>1982.4164746872464</c:v>
                </c:pt>
                <c:pt idx="15">
                  <c:v>1983.8937806093365</c:v>
                </c:pt>
                <c:pt idx="16">
                  <c:v>1985.3792142504567</c:v>
                </c:pt>
                <c:pt idx="17">
                  <c:v>1986.8727168704263</c:v>
                </c:pt>
                <c:pt idx="18">
                  <c:v>1988.3742296798946</c:v>
                </c:pt>
                <c:pt idx="19">
                  <c:v>1989.8836938429117</c:v>
                </c:pt>
                <c:pt idx="20">
                  <c:v>1991.4010504794846</c:v>
                </c:pt>
                <c:pt idx="21">
                  <c:v>1992.9262406681207</c:v>
                </c:pt>
                <c:pt idx="22">
                  <c:v>1994.4592054483555</c:v>
                </c:pt>
                <c:pt idx="23">
                  <c:v>1995.999885823268</c:v>
                </c:pt>
                <c:pt idx="24">
                  <c:v>1997.5482227619798</c:v>
                </c:pt>
                <c:pt idx="25">
                  <c:v>1999.1041572021404</c:v>
                </c:pt>
                <c:pt idx="26">
                  <c:v>2000.6676300523964</c:v>
                </c:pt>
                <c:pt idx="27">
                  <c:v>2002.238582194846</c:v>
                </c:pt>
                <c:pt idx="28">
                  <c:v>2003.8169544874781</c:v>
                </c:pt>
                <c:pt idx="29">
                  <c:v>2005.4026877665945</c:v>
                </c:pt>
                <c:pt idx="30">
                  <c:v>2006.9957228492167</c:v>
                </c:pt>
                <c:pt idx="31">
                  <c:v>2008.5960005354766</c:v>
                </c:pt>
                <c:pt idx="32">
                  <c:v>2010.20346161099</c:v>
                </c:pt>
                <c:pt idx="33">
                  <c:v>2011.8180468492135</c:v>
                </c:pt>
                <c:pt idx="34">
                  <c:v>2013.4396970137852</c:v>
                </c:pt>
                <c:pt idx="35">
                  <c:v>2015.0683528608467</c:v>
                </c:pt>
                <c:pt idx="36">
                  <c:v>2016.7039551413491</c:v>
                </c:pt>
                <c:pt idx="37">
                  <c:v>2018.3464446033406</c:v>
                </c:pt>
                <c:pt idx="38">
                  <c:v>2019.995761994237</c:v>
                </c:pt>
                <c:pt idx="39">
                  <c:v>2021.6518480630739</c:v>
                </c:pt>
                <c:pt idx="40">
                  <c:v>2023.31464356274</c:v>
                </c:pt>
                <c:pt idx="41">
                  <c:v>2024.9840892521941</c:v>
                </c:pt>
                <c:pt idx="42">
                  <c:v>2026.6601258986611</c:v>
                </c:pt>
                <c:pt idx="43">
                  <c:v>2028.3426942798119</c:v>
                </c:pt>
                <c:pt idx="44">
                  <c:v>2030.0317351859223</c:v>
                </c:pt>
                <c:pt idx="45">
                  <c:v>2031.7271894220148</c:v>
                </c:pt>
                <c:pt idx="46">
                  <c:v>2033.4289978099803</c:v>
                </c:pt>
                <c:pt idx="47">
                  <c:v>2035.1371011906804</c:v>
                </c:pt>
                <c:pt idx="48">
                  <c:v>2036.8514404260311</c:v>
                </c:pt>
                <c:pt idx="49">
                  <c:v>2038.5719564010674</c:v>
                </c:pt>
                <c:pt idx="50">
                  <c:v>2040.2985900259862</c:v>
                </c:pt>
                <c:pt idx="51">
                  <c:v>2042.031282238172</c:v>
                </c:pt>
                <c:pt idx="52">
                  <c:v>2043.7699740042017</c:v>
                </c:pt>
                <c:pt idx="53">
                  <c:v>2045.5146063218288</c:v>
                </c:pt>
                <c:pt idx="54">
                  <c:v>2047.2651202219488</c:v>
                </c:pt>
                <c:pt idx="55">
                  <c:v>2049.0214567705439</c:v>
                </c:pt>
                <c:pt idx="56">
                  <c:v>2050.783557070607</c:v>
                </c:pt>
                <c:pt idx="57">
                  <c:v>2052.5513622640465</c:v>
                </c:pt>
                <c:pt idx="58">
                  <c:v>2054.3248135335703</c:v>
                </c:pt>
                <c:pt idx="59">
                  <c:v>2056.1038521045475</c:v>
                </c:pt>
                <c:pt idx="60">
                  <c:v>2057.8884192468536</c:v>
                </c:pt>
                <c:pt idx="61">
                  <c:v>2059.6784562766907</c:v>
                </c:pt>
                <c:pt idx="62">
                  <c:v>2061.4739045583901</c:v>
                </c:pt>
                <c:pt idx="63">
                  <c:v>2063.2746830601968</c:v>
                </c:pt>
                <c:pt idx="64">
                  <c:v>2065.0806659337823</c:v>
                </c:pt>
                <c:pt idx="65">
                  <c:v>2066.8917050310961</c:v>
                </c:pt>
                <c:pt idx="66">
                  <c:v>2068.7076523997112</c:v>
                </c:pt>
                <c:pt idx="67">
                  <c:v>2070.5283396981627</c:v>
                </c:pt>
                <c:pt idx="68">
                  <c:v>2072.3535576369068</c:v>
                </c:pt>
                <c:pt idx="69">
                  <c:v>2074.183040011078</c:v>
                </c:pt>
                <c:pt idx="70">
                  <c:v>2076.0164477622311</c:v>
                </c:pt>
                <c:pt idx="71">
                  <c:v>2077.8534057607685</c:v>
                </c:pt>
                <c:pt idx="72">
                  <c:v>2079.6935395440669</c:v>
                </c:pt>
                <c:pt idx="73">
                  <c:v>2081.5364753429258</c:v>
                </c:pt>
                <c:pt idx="74">
                  <c:v>2083.3818401072467</c:v>
                </c:pt>
                <c:pt idx="75">
                  <c:v>2085.2292615309439</c:v>
                </c:pt>
                <c:pt idx="76">
                  <c:v>2087.0783680760837</c:v>
                </c:pt>
                <c:pt idx="77">
                  <c:v>2088.9287889962566</c:v>
                </c:pt>
                <c:pt idx="78">
                  <c:v>2090.7801543591822</c:v>
                </c:pt>
                <c:pt idx="79">
                  <c:v>2092.6320950685486</c:v>
                </c:pt>
                <c:pt idx="80">
                  <c:v>2094.484242885088</c:v>
                </c:pt>
                <c:pt idx="81">
                  <c:v>2096.3362740794446</c:v>
                </c:pt>
                <c:pt idx="82">
                  <c:v>2098.1879529800699</c:v>
                </c:pt>
                <c:pt idx="83">
                  <c:v>2100.0390881342123</c:v>
                </c:pt>
                <c:pt idx="84">
                  <c:v>2101.8894885655991</c:v>
                </c:pt>
                <c:pt idx="85">
                  <c:v>2103.7389637784822</c:v>
                </c:pt>
                <c:pt idx="86">
                  <c:v>2105.5873237614869</c:v>
                </c:pt>
                <c:pt idx="87">
                  <c:v>2107.4343789912591</c:v>
                </c:pt>
                <c:pt idx="88">
                  <c:v>2109.2799404359193</c:v>
                </c:pt>
                <c:pt idx="89">
                  <c:v>2111.1238333488272</c:v>
                </c:pt>
                <c:pt idx="90">
                  <c:v>2112.9659110256166</c:v>
                </c:pt>
                <c:pt idx="91">
                  <c:v>2114.8060409409482</c:v>
                </c:pt>
                <c:pt idx="92">
                  <c:v>2116.6440909206681</c:v>
                </c:pt>
                <c:pt idx="93">
                  <c:v>2118.4799325908871</c:v>
                </c:pt>
                <c:pt idx="94">
                  <c:v>2120.3134448175301</c:v>
                </c:pt>
                <c:pt idx="95">
                  <c:v>2122.1445102391649</c:v>
                </c:pt>
                <c:pt idx="96">
                  <c:v>2123.9730118090379</c:v>
                </c:pt>
                <c:pt idx="97">
                  <c:v>2125.7988465903572</c:v>
                </c:pt>
                <c:pt idx="98">
                  <c:v>2127.6219395127628</c:v>
                </c:pt>
                <c:pt idx="99">
                  <c:v>2129.4422294988235</c:v>
                </c:pt>
                <c:pt idx="100">
                  <c:v>2131.2596556290105</c:v>
                </c:pt>
                <c:pt idx="101">
                  <c:v>2133.0741571411036</c:v>
                </c:pt>
                <c:pt idx="102">
                  <c:v>2134.8856734295828</c:v>
                </c:pt>
                <c:pt idx="103">
                  <c:v>2136.6941440450059</c:v>
                </c:pt>
                <c:pt idx="104">
                  <c:v>2138.4995086933714</c:v>
                </c:pt>
                <c:pt idx="105">
                  <c:v>2140.3017072354673</c:v>
                </c:pt>
                <c:pt idx="106">
                  <c:v>2142.100679686208</c:v>
                </c:pt>
                <c:pt idx="107">
                  <c:v>2143.8963662139549</c:v>
                </c:pt>
                <c:pt idx="108">
                  <c:v>2145.6887071398269</c:v>
                </c:pt>
                <c:pt idx="109">
                  <c:v>2147.4776601808826</c:v>
                </c:pt>
                <c:pt idx="110">
                  <c:v>2149.2632176434304</c:v>
                </c:pt>
                <c:pt idx="111">
                  <c:v>2151.045389079678</c:v>
                </c:pt>
                <c:pt idx="112">
                  <c:v>2152.82418399476</c:v>
                </c:pt>
                <c:pt idx="113">
                  <c:v>2154.5996118470434</c:v>
                </c:pt>
                <c:pt idx="114">
                  <c:v>2156.3716820484346</c:v>
                </c:pt>
                <c:pt idx="115">
                  <c:v>2158.1404039646809</c:v>
                </c:pt>
                <c:pt idx="116">
                  <c:v>2159.90578691567</c:v>
                </c:pt>
                <c:pt idx="117">
                  <c:v>2161.667840175729</c:v>
                </c:pt>
                <c:pt idx="118">
                  <c:v>2163.4265729739182</c:v>
                </c:pt>
                <c:pt idx="119">
                  <c:v>2165.181994494325</c:v>
                </c:pt>
                <c:pt idx="120">
                  <c:v>2166.934113876353</c:v>
                </c:pt>
                <c:pt idx="121">
                  <c:v>2168.6829402150111</c:v>
                </c:pt>
                <c:pt idx="122">
                  <c:v>2170.4284825611985</c:v>
                </c:pt>
                <c:pt idx="123">
                  <c:v>2172.1707499219883</c:v>
                </c:pt>
                <c:pt idx="124">
                  <c:v>2173.9097512609087</c:v>
                </c:pt>
                <c:pt idx="125">
                  <c:v>2175.6454954982205</c:v>
                </c:pt>
                <c:pt idx="126">
                  <c:v>2177.3779915111959</c:v>
                </c:pt>
                <c:pt idx="127">
                  <c:v>2179.1072481343913</c:v>
                </c:pt>
                <c:pt idx="128">
                  <c:v>2180.8332741599188</c:v>
                </c:pt>
                <c:pt idx="129">
                  <c:v>2182.5560783377182</c:v>
                </c:pt>
                <c:pt idx="130">
                  <c:v>2184.2756693758229</c:v>
                </c:pt>
                <c:pt idx="131">
                  <c:v>2185.992055940626</c:v>
                </c:pt>
                <c:pt idx="132">
                  <c:v>2187.7052466571445</c:v>
                </c:pt>
                <c:pt idx="133">
                  <c:v>2189.4152501092799</c:v>
                </c:pt>
                <c:pt idx="134">
                  <c:v>2191.1220748400779</c:v>
                </c:pt>
                <c:pt idx="135">
                  <c:v>2192.825729351985</c:v>
                </c:pt>
                <c:pt idx="136">
                  <c:v>2194.5262221071052</c:v>
                </c:pt>
                <c:pt idx="137">
                  <c:v>2196.2235615274517</c:v>
                </c:pt>
                <c:pt idx="138">
                  <c:v>2197.9177559951986</c:v>
                </c:pt>
                <c:pt idx="139">
                  <c:v>2199.6088138529303</c:v>
                </c:pt>
                <c:pt idx="140">
                  <c:v>2201.2967434038887</c:v>
                </c:pt>
                <c:pt idx="141">
                  <c:v>2202.9815529122188</c:v>
                </c:pt>
                <c:pt idx="142">
                  <c:v>2204.6632506032111</c:v>
                </c:pt>
                <c:pt idx="143">
                  <c:v>2206.3418446635437</c:v>
                </c:pt>
                <c:pt idx="144">
                  <c:v>2208.0173432415222</c:v>
                </c:pt>
                <c:pt idx="145">
                  <c:v>2209.6897544473168</c:v>
                </c:pt>
                <c:pt idx="146">
                  <c:v>2211.359086353199</c:v>
                </c:pt>
                <c:pt idx="147">
                  <c:v>2213.0253469937743</c:v>
                </c:pt>
                <c:pt idx="148">
                  <c:v>2214.6885443662154</c:v>
                </c:pt>
                <c:pt idx="149">
                  <c:v>2216.3486864304928</c:v>
                </c:pt>
                <c:pt idx="150">
                  <c:v>2218.0057811096021</c:v>
                </c:pt>
                <c:pt idx="151">
                  <c:v>2219.6598362897926</c:v>
                </c:pt>
                <c:pt idx="152">
                  <c:v>2221.3108598207905</c:v>
                </c:pt>
                <c:pt idx="153">
                  <c:v>2222.9588595160239</c:v>
                </c:pt>
                <c:pt idx="154">
                  <c:v>2224.6038431528436</c:v>
                </c:pt>
                <c:pt idx="155">
                  <c:v>2226.2458184727434</c:v>
                </c:pt>
                <c:pt idx="156">
                  <c:v>2227.8847931815772</c:v>
                </c:pt>
                <c:pt idx="157">
                  <c:v>2229.5207749497772</c:v>
                </c:pt>
                <c:pt idx="158">
                  <c:v>2231.1537714125679</c:v>
                </c:pt>
                <c:pt idx="159">
                  <c:v>2232.7837901701791</c:v>
                </c:pt>
                <c:pt idx="160">
                  <c:v>2234.4108387880588</c:v>
                </c:pt>
                <c:pt idx="161">
                  <c:v>2236.0349247970812</c:v>
                </c:pt>
                <c:pt idx="162">
                  <c:v>2237.656055693757</c:v>
                </c:pt>
                <c:pt idx="163">
                  <c:v>2239.2742389404389</c:v>
                </c:pt>
                <c:pt idx="164">
                  <c:v>2240.8894819655279</c:v>
                </c:pt>
                <c:pt idx="165">
                  <c:v>2242.5017921636768</c:v>
                </c:pt>
                <c:pt idx="166">
                  <c:v>2244.1111768959913</c:v>
                </c:pt>
                <c:pt idx="167">
                  <c:v>2245.7176434902317</c:v>
                </c:pt>
                <c:pt idx="168">
                  <c:v>2247.3211992410124</c:v>
                </c:pt>
                <c:pt idx="169">
                  <c:v>2248.921851409998</c:v>
                </c:pt>
                <c:pt idx="170">
                  <c:v>2250.5196072261006</c:v>
                </c:pt>
                <c:pt idx="171">
                  <c:v>2252.1144738856747</c:v>
                </c:pt>
                <c:pt idx="172">
                  <c:v>2253.7064585527091</c:v>
                </c:pt>
                <c:pt idx="173">
                  <c:v>2255.2955683590203</c:v>
                </c:pt>
                <c:pt idx="174">
                  <c:v>2256.8818104044412</c:v>
                </c:pt>
                <c:pt idx="175">
                  <c:v>2258.4651917570113</c:v>
                </c:pt>
                <c:pt idx="176">
                  <c:v>2260.0457194531637</c:v>
                </c:pt>
                <c:pt idx="177">
                  <c:v>2261.623400497911</c:v>
                </c:pt>
                <c:pt idx="178">
                  <c:v>2263.1982418650305</c:v>
                </c:pt>
                <c:pt idx="179">
                  <c:v>2264.7702504972472</c:v>
                </c:pt>
                <c:pt idx="180">
                  <c:v>2266.3394333064157</c:v>
                </c:pt>
                <c:pt idx="181">
                  <c:v>2267.9057971737016</c:v>
                </c:pt>
                <c:pt idx="182">
                  <c:v>2269.4693489497595</c:v>
                </c:pt>
                <c:pt idx="183">
                  <c:v>2271.0300954549125</c:v>
                </c:pt>
                <c:pt idx="184">
                  <c:v>2272.588043479328</c:v>
                </c:pt>
                <c:pt idx="185">
                  <c:v>2274.1431997831928</c:v>
                </c:pt>
                <c:pt idx="186">
                  <c:v>2275.6955710968882</c:v>
                </c:pt>
                <c:pt idx="187">
                  <c:v>2277.2451641211619</c:v>
                </c:pt>
                <c:pt idx="188">
                  <c:v>2278.7919855272999</c:v>
                </c:pt>
                <c:pt idx="189">
                  <c:v>2280.3360419572973</c:v>
                </c:pt>
                <c:pt idx="190">
                  <c:v>2281.8773400240266</c:v>
                </c:pt>
                <c:pt idx="191">
                  <c:v>2283.4158863114053</c:v>
                </c:pt>
                <c:pt idx="192">
                  <c:v>2284.9516873745642</c:v>
                </c:pt>
                <c:pt idx="193">
                  <c:v>2286.484749740011</c:v>
                </c:pt>
                <c:pt idx="194">
                  <c:v>2288.0150799057951</c:v>
                </c:pt>
                <c:pt idx="195">
                  <c:v>2289.5426843416708</c:v>
                </c:pt>
                <c:pt idx="196">
                  <c:v>2291.0675694892593</c:v>
                </c:pt>
                <c:pt idx="197">
                  <c:v>2292.5897417622082</c:v>
                </c:pt>
                <c:pt idx="198">
                  <c:v>2294.109207546353</c:v>
                </c:pt>
                <c:pt idx="199">
                  <c:v>2295.6259731998734</c:v>
                </c:pt>
                <c:pt idx="200">
                  <c:v>2297.140045053452</c:v>
                </c:pt>
                <c:pt idx="201">
                  <c:v>2312.1330927946492</c:v>
                </c:pt>
                <c:pt idx="202">
                  <c:v>2326.8608075879097</c:v>
                </c:pt>
                <c:pt idx="203">
                  <c:v>2341.3292626173452</c:v>
                </c:pt>
                <c:pt idx="204">
                  <c:v>2355.5442757377104</c:v>
                </c:pt>
                <c:pt idx="205">
                  <c:v>2369.5114233977088</c:v>
                </c:pt>
                <c:pt idx="206">
                  <c:v>2383.2360536135607</c:v>
                </c:pt>
                <c:pt idx="207">
                  <c:v>2396.7232980697836</c:v>
                </c:pt>
                <c:pt idx="208">
                  <c:v>2409.978083416936</c:v>
                </c:pt>
                <c:pt idx="209">
                  <c:v>2423.005141829623</c:v>
                </c:pt>
                <c:pt idx="210">
                  <c:v>2435.8090208823</c:v>
                </c:pt>
                <c:pt idx="211">
                  <c:v>2448.3940927952312</c:v>
                </c:pt>
                <c:pt idx="212">
                  <c:v>2460.7645630983047</c:v>
                </c:pt>
                <c:pt idx="213">
                  <c:v>2472.9244787562393</c:v>
                </c:pt>
                <c:pt idx="214">
                  <c:v>2484.8777357949361</c:v>
                </c:pt>
                <c:pt idx="215">
                  <c:v>2496.6280864653395</c:v>
                </c:pt>
                <c:pt idx="216">
                  <c:v>2508.1791459780975</c:v>
                </c:pt>
                <c:pt idx="217">
                  <c:v>2519.5343988395412</c:v>
                </c:pt>
                <c:pt idx="218">
                  <c:v>2530.6972048169841</c:v>
                </c:pt>
                <c:pt idx="219">
                  <c:v>2541.6708045590644</c:v>
                </c:pt>
                <c:pt idx="220">
                  <c:v>2552.4583248947861</c:v>
                </c:pt>
                <c:pt idx="221">
                  <c:v>2563.0627838330329</c:v>
                </c:pt>
                <c:pt idx="222">
                  <c:v>2573.4870952826145</c:v>
                </c:pt>
                <c:pt idx="223">
                  <c:v>2583.7340735113512</c:v>
                </c:pt>
                <c:pt idx="224">
                  <c:v>2593.8064373612774</c:v>
                </c:pt>
                <c:pt idx="225">
                  <c:v>2603.7068142357484</c:v>
                </c:pt>
                <c:pt idx="226">
                  <c:v>2613.437743873048</c:v>
                </c:pt>
                <c:pt idx="227">
                  <c:v>2623.0016819200068</c:v>
                </c:pt>
                <c:pt idx="228">
                  <c:v>2632.4010033181535</c:v>
                </c:pt>
                <c:pt idx="229">
                  <c:v>2641.638005514003</c:v>
                </c:pt>
                <c:pt idx="230">
                  <c:v>2650.7149115042571</c:v>
                </c:pt>
                <c:pt idx="231">
                  <c:v>2659.6338727259163</c:v>
                </c:pt>
                <c:pt idx="232">
                  <c:v>2668.3969718006078</c:v>
                </c:pt>
                <c:pt idx="233">
                  <c:v>2677.0062251417717</c:v>
                </c:pt>
                <c:pt idx="234">
                  <c:v>2685.463585432763</c:v>
                </c:pt>
                <c:pt idx="235">
                  <c:v>2693.7709439833657</c:v>
                </c:pt>
                <c:pt idx="236">
                  <c:v>2701.9301329717132</c:v>
                </c:pt>
                <c:pt idx="237">
                  <c:v>2709.9429275781358</c:v>
                </c:pt>
                <c:pt idx="238">
                  <c:v>2717.8110480170285</c:v>
                </c:pt>
                <c:pt idx="239">
                  <c:v>2725.5361614724216</c:v>
                </c:pt>
                <c:pt idx="240">
                  <c:v>2733.1198839425783</c:v>
                </c:pt>
                <c:pt idx="241">
                  <c:v>2740.5637819985895</c:v>
                </c:pt>
                <c:pt idx="242">
                  <c:v>2747.8693744616216</c:v>
                </c:pt>
                <c:pt idx="243">
                  <c:v>2755.0381340031818</c:v>
                </c:pt>
                <c:pt idx="244">
                  <c:v>2762.0714886724827</c:v>
                </c:pt>
                <c:pt idx="245">
                  <c:v>2768.9708233547431</c:v>
                </c:pt>
                <c:pt idx="246">
                  <c:v>2775.7374811640188</c:v>
                </c:pt>
                <c:pt idx="247">
                  <c:v>2782.3727647739438</c:v>
                </c:pt>
                <c:pt idx="248">
                  <c:v>2788.8779376895463</c:v>
                </c:pt>
                <c:pt idx="249">
                  <c:v>2795.2542254631321</c:v>
                </c:pt>
                <c:pt idx="250">
                  <c:v>2801.5028168570334</c:v>
                </c:pt>
                <c:pt idx="251">
                  <c:v>2807.6248649558643</c:v>
                </c:pt>
                <c:pt idx="252">
                  <c:v>2813.6214882307722</c:v>
                </c:pt>
                <c:pt idx="253">
                  <c:v>2819.4937715580249</c:v>
                </c:pt>
                <c:pt idx="254">
                  <c:v>2825.2427671941446</c:v>
                </c:pt>
                <c:pt idx="255">
                  <c:v>2830.8694957096727</c:v>
                </c:pt>
                <c:pt idx="256">
                  <c:v>2836.3749468835372</c:v>
                </c:pt>
                <c:pt idx="257">
                  <c:v>2841.7600805598763</c:v>
                </c:pt>
                <c:pt idx="258">
                  <c:v>2847.0258274690846</c:v>
                </c:pt>
                <c:pt idx="259">
                  <c:v>2852.1730900147409</c:v>
                </c:pt>
                <c:pt idx="260">
                  <c:v>2857.2027430280009</c:v>
                </c:pt>
                <c:pt idx="261">
                  <c:v>2862.1156344909427</c:v>
                </c:pt>
                <c:pt idx="262">
                  <c:v>2866.9125862302935</c:v>
                </c:pt>
                <c:pt idx="263">
                  <c:v>2871.5943945828808</c:v>
                </c:pt>
                <c:pt idx="264">
                  <c:v>2876.1618310340955</c:v>
                </c:pt>
                <c:pt idx="265">
                  <c:v>2880.6156428305935</c:v>
                </c:pt>
                <c:pt idx="266">
                  <c:v>2884.9565535684019</c:v>
                </c:pt>
                <c:pt idx="267">
                  <c:v>2889.1852637575553</c:v>
                </c:pt>
                <c:pt idx="268">
                  <c:v>2893.3024513643322</c:v>
                </c:pt>
                <c:pt idx="269">
                  <c:v>2897.3087723321341</c:v>
                </c:pt>
                <c:pt idx="270">
                  <c:v>2901.2048610819979</c:v>
                </c:pt>
                <c:pt idx="271">
                  <c:v>2904.9913309937215</c:v>
                </c:pt>
                <c:pt idx="272">
                  <c:v>2908.6687748685422</c:v>
                </c:pt>
                <c:pt idx="273">
                  <c:v>2912.2377653742956</c:v>
                </c:pt>
                <c:pt idx="274">
                  <c:v>2915.6988554739696</c:v>
                </c:pt>
                <c:pt idx="275">
                  <c:v>2919.0525788385607</c:v>
                </c:pt>
                <c:pt idx="276">
                  <c:v>2922.2994502451393</c:v>
                </c:pt>
                <c:pt idx="277">
                  <c:v>2925.4399659610422</c:v>
                </c:pt>
                <c:pt idx="278">
                  <c:v>2928.4746041151298</c:v>
                </c:pt>
                <c:pt idx="279">
                  <c:v>2931.4038250570679</c:v>
                </c:pt>
                <c:pt idx="280">
                  <c:v>2934.228071705641</c:v>
                </c:pt>
                <c:pt idx="281">
                  <c:v>2936.9477698871565</c:v>
                </c:pt>
                <c:pt idx="282">
                  <c:v>2939.5633286650641</c:v>
                </c:pt>
                <c:pt idx="283">
                  <c:v>2942.0751406620093</c:v>
                </c:pt>
                <c:pt idx="284">
                  <c:v>2944.4835823756434</c:v>
                </c:pt>
                <c:pt idx="285">
                  <c:v>2946.7890144896469</c:v>
                </c:pt>
                <c:pt idx="286">
                  <c:v>2948.9917821815811</c:v>
                </c:pt>
                <c:pt idx="287">
                  <c:v>2951.0922154293803</c:v>
                </c:pt>
                <c:pt idx="288">
                  <c:v>2953.0906293185126</c:v>
                </c:pt>
                <c:pt idx="289">
                  <c:v>2954.987324352117</c:v>
                </c:pt>
                <c:pt idx="290">
                  <c:v>2956.7825867667211</c:v>
                </c:pt>
                <c:pt idx="291">
                  <c:v>2958.4766888565073</c:v>
                </c:pt>
                <c:pt idx="292">
                  <c:v>2960.0698893094891</c:v>
                </c:pt>
                <c:pt idx="293">
                  <c:v>2961.5624335594071</c:v>
                </c:pt>
                <c:pt idx="294">
                  <c:v>2962.9545541576299</c:v>
                </c:pt>
                <c:pt idx="295">
                  <c:v>2964.2464711698481</c:v>
                </c:pt>
                <c:pt idx="296">
                  <c:v>2965.4383926028408</c:v>
                </c:pt>
                <c:pt idx="297">
                  <c:v>2966.5305148670614</c:v>
                </c:pt>
                <c:pt idx="298">
                  <c:v>2967.5230232811373</c:v>
                </c:pt>
                <c:pt idx="299">
                  <c:v>2968.4160926245927</c:v>
                </c:pt>
                <c:pt idx="300">
                  <c:v>2969.209887745043</c:v>
                </c:pt>
                <c:pt idx="301">
                  <c:v>2969.9045642257079</c:v>
                </c:pt>
                <c:pt idx="302">
                  <c:v>2970.500269118224</c:v>
                </c:pt>
                <c:pt idx="303">
                  <c:v>2970.9971417443212</c:v>
                </c:pt>
                <c:pt idx="304">
                  <c:v>2971.3953145678793</c:v>
                </c:pt>
                <c:pt idx="305">
                  <c:v>2971.6949141362215</c:v>
                </c:pt>
                <c:pt idx="306">
                  <c:v>2971.8960620863168</c:v>
                </c:pt>
                <c:pt idx="307">
                  <c:v>2971.9988762080079</c:v>
                </c:pt>
                <c:pt idx="308">
                  <c:v>2972.0034715528336</c:v>
                </c:pt>
                <c:pt idx="309">
                  <c:v>2971.9099615737468</c:v>
                </c:pt>
                <c:pt idx="310">
                  <c:v>2971.7184592785279</c:v>
                </c:pt>
                <c:pt idx="311">
                  <c:v>2971.4290783782367</c:v>
                </c:pt>
                <c:pt idx="312">
                  <c:v>2971.0419344118513</c:v>
                </c:pt>
                <c:pt idx="313">
                  <c:v>2970.5571458293653</c:v>
                </c:pt>
                <c:pt idx="314">
                  <c:v>2969.9748350178547</c:v>
                </c:pt>
                <c:pt idx="315">
                  <c:v>2969.2951292581247</c:v>
                </c:pt>
                <c:pt idx="316">
                  <c:v>2968.5181616030791</c:v>
                </c:pt>
                <c:pt idx="317">
                  <c:v>2967.6440716725583</c:v>
                </c:pt>
                <c:pt idx="318">
                  <c:v>2966.6730063627283</c:v>
                </c:pt>
                <c:pt idx="319">
                  <c:v>2965.6051204709306</c:v>
                </c:pt>
                <c:pt idx="320">
                  <c:v>2964.4405772391428</c:v>
                </c:pt>
                <c:pt idx="321">
                  <c:v>2963.1795488207717</c:v>
                </c:pt>
                <c:pt idx="322">
                  <c:v>2961.8222166765058</c:v>
                </c:pt>
                <c:pt idx="323">
                  <c:v>2960.3687719054647</c:v>
                </c:pt>
                <c:pt idx="324">
                  <c:v>2958.8194155179826</c:v>
                </c:pt>
                <c:pt idx="325">
                  <c:v>2957.1743586562143</c:v>
                </c:pt>
                <c:pt idx="326">
                  <c:v>2955.4338227683847</c:v>
                </c:pt>
                <c:pt idx="327">
                  <c:v>2953.5980397420494</c:v>
                </c:pt>
                <c:pt idx="328">
                  <c:v>2951.667252001208</c:v>
                </c:pt>
                <c:pt idx="329">
                  <c:v>2949.6417125715961</c:v>
                </c:pt>
                <c:pt idx="330">
                  <c:v>2947.5216851179648</c:v>
                </c:pt>
                <c:pt idx="331">
                  <c:v>2945.3074439566803</c:v>
                </c:pt>
                <c:pt idx="332">
                  <c:v>2942.9992740465523</c:v>
                </c:pt>
                <c:pt idx="333">
                  <c:v>2940.5974709604016</c:v>
                </c:pt>
                <c:pt idx="334">
                  <c:v>2938.1023408395531</c:v>
                </c:pt>
                <c:pt idx="335">
                  <c:v>2935.5142003331289</c:v>
                </c:pt>
                <c:pt idx="336">
                  <c:v>2932.8333765237721</c:v>
                </c:pt>
                <c:pt idx="337">
                  <c:v>2930.060206841214</c:v>
                </c:pt>
                <c:pt idx="338">
                  <c:v>2927.1950389648991</c:v>
                </c:pt>
                <c:pt idx="339">
                  <c:v>2924.2382307167386</c:v>
                </c:pt>
                <c:pt idx="340">
                  <c:v>2921.1901499449173</c:v>
                </c:pt>
                <c:pt idx="341">
                  <c:v>2918.0511743995671</c:v>
                </c:pt>
                <c:pt idx="342">
                  <c:v>2914.8216916010301</c:v>
                </c:pt>
                <c:pt idx="343">
                  <c:v>2911.5020987013381</c:v>
                </c:pt>
                <c:pt idx="344">
                  <c:v>2908.0928023394836</c:v>
                </c:pt>
                <c:pt idx="345">
                  <c:v>2904.5942184909845</c:v>
                </c:pt>
                <c:pt idx="346">
                  <c:v>2901.006772312202</c:v>
                </c:pt>
                <c:pt idx="347">
                  <c:v>2897.3308979798253</c:v>
                </c:pt>
                <c:pt idx="348">
                  <c:v>2893.5670385259045</c:v>
                </c:pt>
                <c:pt idx="349">
                  <c:v>2889.7156456687803</c:v>
                </c:pt>
                <c:pt idx="350">
                  <c:v>2885.7771796402303</c:v>
                </c:pt>
                <c:pt idx="351">
                  <c:v>2881.7521090091359</c:v>
                </c:pt>
                <c:pt idx="352">
                  <c:v>2877.6409105019447</c:v>
                </c:pt>
                <c:pt idx="353">
                  <c:v>2873.444068820198</c:v>
                </c:pt>
                <c:pt idx="354">
                  <c:v>2869.1620764553677</c:v>
                </c:pt>
                <c:pt idx="355">
                  <c:v>2864.7954335012432</c:v>
                </c:pt>
                <c:pt idx="356">
                  <c:v>2860.3446474640909</c:v>
                </c:pt>
                <c:pt idx="357">
                  <c:v>2855.8102330708007</c:v>
                </c:pt>
                <c:pt idx="358">
                  <c:v>2851.1927120752316</c:v>
                </c:pt>
                <c:pt idx="359">
                  <c:v>2846.4926130629501</c:v>
                </c:pt>
                <c:pt idx="360">
                  <c:v>2841.7104712545547</c:v>
                </c:pt>
                <c:pt idx="361">
                  <c:v>2836.8468283077732</c:v>
                </c:pt>
                <c:pt idx="362">
                  <c:v>2831.9022321185121</c:v>
                </c:pt>
                <c:pt idx="363">
                  <c:v>2826.8772366210314</c:v>
                </c:pt>
                <c:pt idx="364">
                  <c:v>2821.7724015874146</c:v>
                </c:pt>
                <c:pt idx="365">
                  <c:v>2816.5882924264952</c:v>
                </c:pt>
                <c:pt idx="366">
                  <c:v>2811.3254799824058</c:v>
                </c:pt>
                <c:pt idx="367">
                  <c:v>2805.9845403328986</c:v>
                </c:pt>
                <c:pt idx="368">
                  <c:v>2800.5660545875908</c:v>
                </c:pt>
                <c:pt idx="369">
                  <c:v>2795.0706086862824</c:v>
                </c:pt>
                <c:pt idx="370">
                  <c:v>2789.4987931974902</c:v>
                </c:pt>
                <c:pt idx="371">
                  <c:v>2783.8512031173332</c:v>
                </c:pt>
                <c:pt idx="372">
                  <c:v>2778.1284376689096</c:v>
                </c:pt>
                <c:pt idx="373">
                  <c:v>2772.3311001022935</c:v>
                </c:pt>
                <c:pt idx="374">
                  <c:v>2766.4597974952812</c:v>
                </c:pt>
                <c:pt idx="375">
                  <c:v>2760.5151405550087</c:v>
                </c:pt>
                <c:pt idx="376">
                  <c:v>2754.4977434205643</c:v>
                </c:pt>
                <c:pt idx="377">
                  <c:v>2748.4082234667085</c:v>
                </c:pt>
                <c:pt idx="378">
                  <c:v>2742.2472011088189</c:v>
                </c:pt>
                <c:pt idx="379">
                  <c:v>2736.0152996091647</c:v>
                </c:pt>
                <c:pt idx="380">
                  <c:v>2729.7131448846221</c:v>
                </c:pt>
                <c:pt idx="381">
                  <c:v>2723.3413653159255</c:v>
                </c:pt>
                <c:pt idx="382">
                  <c:v>2716.9005915585594</c:v>
                </c:pt>
                <c:pt idx="383">
                  <c:v>2710.3914563553831</c:v>
                </c:pt>
                <c:pt idx="384">
                  <c:v>2703.8145943510767</c:v>
                </c:pt>
                <c:pt idx="385">
                  <c:v>2697.1706419085017</c:v>
                </c:pt>
                <c:pt idx="386">
                  <c:v>2690.4602369270528</c:v>
                </c:pt>
                <c:pt idx="387">
                  <c:v>2683.6840186630884</c:v>
                </c:pt>
                <c:pt idx="388">
                  <c:v>2676.8426275525094</c:v>
                </c:pt>
                <c:pt idx="389">
                  <c:v>2669.936705035565</c:v>
                </c:pt>
                <c:pt idx="390">
                  <c:v>2662.9668933839516</c:v>
                </c:pt>
                <c:pt idx="391">
                  <c:v>2655.9338355302707</c:v>
                </c:pt>
                <c:pt idx="392">
                  <c:v>2648.83817489991</c:v>
                </c:pt>
                <c:pt idx="393">
                  <c:v>2641.6805552454057</c:v>
                </c:pt>
                <c:pt idx="394">
                  <c:v>2634.4616204833383</c:v>
                </c:pt>
                <c:pt idx="395">
                  <c:v>2627.1820145338206</c:v>
                </c:pt>
                <c:pt idx="396">
                  <c:v>2619.8423811626185</c:v>
                </c:pt>
                <c:pt idx="397">
                  <c:v>2612.4433638259557</c:v>
                </c:pt>
                <c:pt idx="398">
                  <c:v>2604.9856055180412</c:v>
                </c:pt>
                <c:pt idx="399">
                  <c:v>2597.4697486213586</c:v>
                </c:pt>
                <c:pt idx="400">
                  <c:v>2589.8964347597544</c:v>
                </c:pt>
                <c:pt idx="401">
                  <c:v>2582.266304654353</c:v>
                </c:pt>
                <c:pt idx="402">
                  <c:v>2574.5799979823332</c:v>
                </c:pt>
                <c:pt idx="403">
                  <c:v>2566.8381532385865</c:v>
                </c:pt>
                <c:pt idx="404">
                  <c:v>2559.0414076002853</c:v>
                </c:pt>
                <c:pt idx="405">
                  <c:v>2551.1903967943772</c:v>
                </c:pt>
                <c:pt idx="406">
                  <c:v>2543.285754968023</c:v>
                </c:pt>
                <c:pt idx="407">
                  <c:v>2535.3281145619962</c:v>
                </c:pt>
                <c:pt idx="408">
                  <c:v>2527.31810618705</c:v>
                </c:pt>
                <c:pt idx="409">
                  <c:v>2519.2563585032653</c:v>
                </c:pt>
                <c:pt idx="410">
                  <c:v>2511.1434981023826</c:v>
                </c:pt>
                <c:pt idx="411">
                  <c:v>2502.9801493931245</c:v>
                </c:pt>
                <c:pt idx="412">
                  <c:v>2494.7669344895066</c:v>
                </c:pt>
                <c:pt idx="413">
                  <c:v>2486.5044731021389</c:v>
                </c:pt>
                <c:pt idx="414">
                  <c:v>2478.1933824325101</c:v>
                </c:pt>
                <c:pt idx="415">
                  <c:v>2469.8342770702548</c:v>
                </c:pt>
                <c:pt idx="416">
                  <c:v>2461.4277688933871</c:v>
                </c:pt>
                <c:pt idx="417">
                  <c:v>2452.9744669714996</c:v>
                </c:pt>
                <c:pt idx="418">
                  <c:v>2444.4749774719089</c:v>
                </c:pt>
                <c:pt idx="419">
                  <c:v>2435.9299035687359</c:v>
                </c:pt>
                <c:pt idx="420">
                  <c:v>2427.339845354903</c:v>
                </c:pt>
                <c:pt idx="421">
                  <c:v>2418.7053997570342</c:v>
                </c:pt>
                <c:pt idx="422">
                  <c:v>2410.027160453234</c:v>
                </c:pt>
                <c:pt idx="423">
                  <c:v>2401.3057177937258</c:v>
                </c:pt>
                <c:pt idx="424">
                  <c:v>2392.5416587243244</c:v>
                </c:pt>
                <c:pt idx="425">
                  <c:v>2383.735566712724</c:v>
                </c:pt>
                <c:pt idx="426">
                  <c:v>2374.8880216775669</c:v>
                </c:pt>
                <c:pt idx="427">
                  <c:v>2365.9995999202733</c:v>
                </c:pt>
                <c:pt idx="428">
                  <c:v>2357.0708740595987</c:v>
                </c:pt>
                <c:pt idx="429">
                  <c:v>2348.1024129688894</c:v>
                </c:pt>
                <c:pt idx="430">
                  <c:v>2339.0947817160086</c:v>
                </c:pt>
                <c:pt idx="431">
                  <c:v>2330.0485415058952</c:v>
                </c:pt>
                <c:pt idx="432">
                  <c:v>2320.9642496257256</c:v>
                </c:pt>
                <c:pt idx="433">
                  <c:v>2311.8424593926438</c:v>
                </c:pt>
                <c:pt idx="434">
                  <c:v>2302.6837201040221</c:v>
                </c:pt>
                <c:pt idx="435">
                  <c:v>2293.4885769902194</c:v>
                </c:pt>
                <c:pt idx="436">
                  <c:v>2284.2575711697991</c:v>
                </c:pt>
                <c:pt idx="437">
                  <c:v>2274.9912396071663</c:v>
                </c:pt>
                <c:pt idx="438">
                  <c:v>2265.6901150725907</c:v>
                </c:pt>
                <c:pt idx="439">
                  <c:v>2256.3547261045719</c:v>
                </c:pt>
                <c:pt idx="440">
                  <c:v>2246.9855969745108</c:v>
                </c:pt>
                <c:pt idx="441">
                  <c:v>2237.5832476536439</c:v>
                </c:pt>
                <c:pt idx="442">
                  <c:v>2228.1481937822023</c:v>
                </c:pt>
                <c:pt idx="443">
                  <c:v>2218.6809466407562</c:v>
                </c:pt>
                <c:pt idx="444">
                  <c:v>2209.1820131236977</c:v>
                </c:pt>
                <c:pt idx="445">
                  <c:v>2199.6518957148264</c:v>
                </c:pt>
                <c:pt idx="446">
                  <c:v>2190.0910924649934</c:v>
                </c:pt>
                <c:pt idx="447">
                  <c:v>2180.5000969717616</c:v>
                </c:pt>
                <c:pt idx="448">
                  <c:v>2170.8793983610421</c:v>
                </c:pt>
                <c:pt idx="449">
                  <c:v>2161.2294812706609</c:v>
                </c:pt>
                <c:pt idx="450">
                  <c:v>2151.5508258358168</c:v>
                </c:pt>
                <c:pt idx="451">
                  <c:v>2141.8439076763875</c:v>
                </c:pt>
                <c:pt idx="452">
                  <c:v>2132.1091978860409</c:v>
                </c:pt>
                <c:pt idx="453">
                  <c:v>2122.3471630231102</c:v>
                </c:pt>
                <c:pt idx="454">
                  <c:v>2112.5582651031882</c:v>
                </c:pt>
                <c:pt idx="455">
                  <c:v>2102.7429615934029</c:v>
                </c:pt>
                <c:pt idx="456">
                  <c:v>2092.9017054083292</c:v>
                </c:pt>
                <c:pt idx="457">
                  <c:v>2083.0349449074961</c:v>
                </c:pt>
                <c:pt idx="458">
                  <c:v>2073.1431238944479</c:v>
                </c:pt>
                <c:pt idx="459">
                  <c:v>2063.2266816173169</c:v>
                </c:pt>
                <c:pt idx="460">
                  <c:v>2053.2860527708708</c:v>
                </c:pt>
                <c:pt idx="461">
                  <c:v>2043.3216674999878</c:v>
                </c:pt>
                <c:pt idx="462">
                  <c:v>2033.333951404524</c:v>
                </c:pt>
                <c:pt idx="463">
                  <c:v>2023.3233255455307</c:v>
                </c:pt>
                <c:pt idx="464">
                  <c:v>2013.2902064527837</c:v>
                </c:pt>
                <c:pt idx="465">
                  <c:v>2003.2350061335831</c:v>
                </c:pt>
                <c:pt idx="466">
                  <c:v>1993.1581320827861</c:v>
                </c:pt>
                <c:pt idx="467">
                  <c:v>1983.0599872940354</c:v>
                </c:pt>
                <c:pt idx="468">
                  <c:v>1972.9409702721423</c:v>
                </c:pt>
                <c:pt idx="469">
                  <c:v>1962.8014750465898</c:v>
                </c:pt>
                <c:pt idx="470">
                  <c:v>1952.6418911861169</c:v>
                </c:pt>
                <c:pt idx="471">
                  <c:v>1942.4626038143494</c:v>
                </c:pt>
                <c:pt idx="472">
                  <c:v>1932.2639936264379</c:v>
                </c:pt>
                <c:pt idx="473">
                  <c:v>1922.0464369066713</c:v>
                </c:pt>
                <c:pt idx="474">
                  <c:v>1911.8103055470281</c:v>
                </c:pt>
                <c:pt idx="475">
                  <c:v>1901.5559670666319</c:v>
                </c:pt>
                <c:pt idx="476">
                  <c:v>1891.2837846320772</c:v>
                </c:pt>
                <c:pt idx="477">
                  <c:v>1880.9941170785924</c:v>
                </c:pt>
                <c:pt idx="478">
                  <c:v>1870.6873189320063</c:v>
                </c:pt>
                <c:pt idx="479">
                  <c:v>1860.3637404314861</c:v>
                </c:pt>
                <c:pt idx="480">
                  <c:v>1850.0237275530167</c:v>
                </c:pt>
                <c:pt idx="481">
                  <c:v>1839.6676220335864</c:v>
                </c:pt>
                <c:pt idx="482">
                  <c:v>1829.2957613960546</c:v>
                </c:pt>
                <c:pt idx="483">
                  <c:v>1818.9084789746635</c:v>
                </c:pt>
                <c:pt idx="484">
                  <c:v>1808.5061039411728</c:v>
                </c:pt>
                <c:pt idx="485">
                  <c:v>1798.0889613315821</c:v>
                </c:pt>
                <c:pt idx="486">
                  <c:v>1787.6573720734157</c:v>
                </c:pt>
                <c:pt idx="487">
                  <c:v>1777.2116530135418</c:v>
                </c:pt>
                <c:pt idx="488">
                  <c:v>1766.7521169464999</c:v>
                </c:pt>
                <c:pt idx="489">
                  <c:v>1756.2790726433072</c:v>
                </c:pt>
                <c:pt idx="490">
                  <c:v>1745.7928248807218</c:v>
                </c:pt>
                <c:pt idx="491">
                  <c:v>1735.2936744709336</c:v>
                </c:pt>
                <c:pt idx="492">
                  <c:v>1724.7819182916617</c:v>
                </c:pt>
                <c:pt idx="493">
                  <c:v>1714.2578493166316</c:v>
                </c:pt>
                <c:pt idx="494">
                  <c:v>1703.7217566464099</c:v>
                </c:pt>
                <c:pt idx="495">
                  <c:v>1693.1739255395732</c:v>
                </c:pt>
                <c:pt idx="496">
                  <c:v>1682.6146374441892</c:v>
                </c:pt>
                <c:pt idx="497">
                  <c:v>1672.0441700295855</c:v>
                </c:pt>
                <c:pt idx="498">
                  <c:v>1661.4627972183907</c:v>
                </c:pt>
                <c:pt idx="499">
                  <c:v>1650.8707892188197</c:v>
                </c:pt>
                <c:pt idx="500">
                  <c:v>1640.2684125571884</c:v>
                </c:pt>
                <c:pt idx="501">
                  <c:v>1629.6559301106361</c:v>
                </c:pt>
                <c:pt idx="502">
                  <c:v>1619.0336011400361</c:v>
                </c:pt>
                <c:pt idx="503">
                  <c:v>1608.4016813230771</c:v>
                </c:pt>
                <c:pt idx="504">
                  <c:v>1597.7604227874958</c:v>
                </c:pt>
                <c:pt idx="505">
                  <c:v>1587.110074144445</c:v>
                </c:pt>
                <c:pt idx="506">
                  <c:v>1576.450880521978</c:v>
                </c:pt>
                <c:pt idx="507">
                  <c:v>1565.7830835986347</c:v>
                </c:pt>
                <c:pt idx="508">
                  <c:v>1555.106921637112</c:v>
                </c:pt>
                <c:pt idx="509">
                  <c:v>1544.4226295180031</c:v>
                </c:pt>
                <c:pt idx="510">
                  <c:v>1533.7304387735917</c:v>
                </c:pt>
                <c:pt idx="511">
                  <c:v>1523.0305776216844</c:v>
                </c:pt>
                <c:pt idx="512">
                  <c:v>1512.3232709994697</c:v>
                </c:pt>
                <c:pt idx="513">
                  <c:v>1501.6087405973876</c:v>
                </c:pt>
                <c:pt idx="514">
                  <c:v>1490.8872048929979</c:v>
                </c:pt>
                <c:pt idx="515">
                  <c:v>1480.1588791848339</c:v>
                </c:pt>
                <c:pt idx="516">
                  <c:v>1469.4239756262286</c:v>
                </c:pt>
                <c:pt idx="517">
                  <c:v>1458.6827032591034</c:v>
                </c:pt>
                <c:pt idx="518">
                  <c:v>1447.9352680477048</c:v>
                </c:pt>
                <c:pt idx="519">
                  <c:v>1437.1818729122808</c:v>
                </c:pt>
                <c:pt idx="520">
                  <c:v>1426.4227177626844</c:v>
                </c:pt>
                <c:pt idx="521">
                  <c:v>1415.6579995318946</c:v>
                </c:pt>
                <c:pt idx="522">
                  <c:v>1404.8879122094447</c:v>
                </c:pt>
                <c:pt idx="523">
                  <c:v>1394.1126468747489</c:v>
                </c:pt>
                <c:pt idx="524">
                  <c:v>1383.3323917303173</c:v>
                </c:pt>
                <c:pt idx="525">
                  <c:v>1372.5473321348506</c:v>
                </c:pt>
                <c:pt idx="526">
                  <c:v>1361.7576506362068</c:v>
                </c:pt>
                <c:pt idx="527">
                  <c:v>1350.9635270042299</c:v>
                </c:pt>
                <c:pt idx="528">
                  <c:v>1340.1651382634357</c:v>
                </c:pt>
                <c:pt idx="529">
                  <c:v>1329.3626587255433</c:v>
                </c:pt>
                <c:pt idx="530">
                  <c:v>1318.5562600218504</c:v>
                </c:pt>
                <c:pt idx="531">
                  <c:v>1307.7461111354398</c:v>
                </c:pt>
                <c:pt idx="532">
                  <c:v>1296.9323784332148</c:v>
                </c:pt>
                <c:pt idx="533">
                  <c:v>1286.1152256977555</c:v>
                </c:pt>
                <c:pt idx="534">
                  <c:v>1275.2948141589904</c:v>
                </c:pt>
                <c:pt idx="535">
                  <c:v>1264.4713025256781</c:v>
                </c:pt>
                <c:pt idx="536">
                  <c:v>1253.6448470166922</c:v>
                </c:pt>
                <c:pt idx="537">
                  <c:v>1242.8156013921071</c:v>
                </c:pt>
                <c:pt idx="538">
                  <c:v>1231.9837169840762</c:v>
                </c:pt>
                <c:pt idx="539">
                  <c:v>1221.149342727502</c:v>
                </c:pt>
                <c:pt idx="540">
                  <c:v>1210.3126251904898</c:v>
                </c:pt>
                <c:pt idx="541">
                  <c:v>1199.4737086045841</c:v>
                </c:pt>
                <c:pt idx="542">
                  <c:v>1188.6327348947823</c:v>
                </c:pt>
                <c:pt idx="543">
                  <c:v>1177.789843709322</c:v>
                </c:pt>
                <c:pt idx="544">
                  <c:v>1166.9451724492392</c:v>
                </c:pt>
                <c:pt idx="545">
                  <c:v>1156.0988562976936</c:v>
                </c:pt>
                <c:pt idx="546">
                  <c:v>1145.2510282490591</c:v>
                </c:pt>
                <c:pt idx="547">
                  <c:v>1134.4018191377752</c:v>
                </c:pt>
                <c:pt idx="548">
                  <c:v>1123.551357666958</c:v>
                </c:pt>
                <c:pt idx="549">
                  <c:v>1112.6997704367675</c:v>
                </c:pt>
                <c:pt idx="550">
                  <c:v>1101.8471819725303</c:v>
                </c:pt>
                <c:pt idx="551">
                  <c:v>1090.9937147526141</c:v>
                </c:pt>
                <c:pt idx="552">
                  <c:v>1080.139489236054</c:v>
                </c:pt>
                <c:pt idx="553">
                  <c:v>1069.2846238899267</c:v>
                </c:pt>
                <c:pt idx="554">
                  <c:v>1058.4292352164734</c:v>
                </c:pt>
                <c:pt idx="555">
                  <c:v>1047.5734377799686</c:v>
                </c:pt>
                <c:pt idx="556">
                  <c:v>1036.7173442333335</c:v>
                </c:pt>
                <c:pt idx="557">
                  <c:v>1025.8610653444955</c:v>
                </c:pt>
                <c:pt idx="558">
                  <c:v>1015.0047100224884</c:v>
                </c:pt>
                <c:pt idx="559">
                  <c:v>1004.1483853432974</c:v>
                </c:pt>
                <c:pt idx="560">
                  <c:v>993.29219657544411</c:v>
                </c:pt>
                <c:pt idx="561">
                  <c:v>982.43624720531466</c:v>
                </c:pt>
                <c:pt idx="562">
                  <c:v>971.58063896222779</c:v>
                </c:pt>
                <c:pt idx="563">
                  <c:v>960.72547184324446</c:v>
                </c:pt>
                <c:pt idx="564">
                  <c:v>949.870844137718</c:v>
                </c:pt>
                <c:pt idx="565">
                  <c:v>939.01685245158467</c:v>
                </c:pt>
                <c:pt idx="566">
                  <c:v>928.16359173139597</c:v>
                </c:pt>
                <c:pt idx="567">
                  <c:v>917.31115528809096</c:v>
                </c:pt>
                <c:pt idx="568">
                  <c:v>906.45963482051093</c:v>
                </c:pt>
                <c:pt idx="569">
                  <c:v>895.60912043865505</c:v>
                </c:pt>
                <c:pt idx="570">
                  <c:v>884.75970068667903</c:v>
                </c:pt>
                <c:pt idx="571">
                  <c:v>873.91146256563616</c:v>
                </c:pt>
                <c:pt idx="572">
                  <c:v>863.06449155596192</c:v>
                </c:pt>
                <c:pt idx="573">
                  <c:v>852.21887163970325</c:v>
                </c:pt>
                <c:pt idx="574">
                  <c:v>841.37468532249261</c:v>
                </c:pt>
                <c:pt idx="575">
                  <c:v>830.53201365526809</c:v>
                </c:pt>
                <c:pt idx="576">
                  <c:v>819.69093625574067</c:v>
                </c:pt>
                <c:pt idx="577">
                  <c:v>808.85153132960943</c:v>
                </c:pt>
                <c:pt idx="578">
                  <c:v>798.01387569152598</c:v>
                </c:pt>
                <c:pt idx="579">
                  <c:v>787.17804478580922</c:v>
                </c:pt>
                <c:pt idx="580">
                  <c:v>776.34411270691146</c:v>
                </c:pt>
                <c:pt idx="581">
                  <c:v>765.51215221963764</c:v>
                </c:pt>
                <c:pt idx="582">
                  <c:v>754.68223477911852</c:v>
                </c:pt>
                <c:pt idx="583">
                  <c:v>743.85443055053975</c:v>
                </c:pt>
                <c:pt idx="584">
                  <c:v>733.02880842862749</c:v>
                </c:pt>
                <c:pt idx="585">
                  <c:v>722.20543605689295</c:v>
                </c:pt>
                <c:pt idx="586">
                  <c:v>711.38437984663665</c:v>
                </c:pt>
                <c:pt idx="587">
                  <c:v>700.56570499571444</c:v>
                </c:pt>
                <c:pt idx="588">
                  <c:v>689.74947550706679</c:v>
                </c:pt>
                <c:pt idx="589">
                  <c:v>678.93575420701268</c:v>
                </c:pt>
                <c:pt idx="590">
                  <c:v>668.12460276331035</c:v>
                </c:pt>
                <c:pt idx="591">
                  <c:v>657.31608170298568</c:v>
                </c:pt>
                <c:pt idx="592">
                  <c:v>646.51025042993138</c:v>
                </c:pt>
                <c:pt idx="593">
                  <c:v>635.70716724227748</c:v>
                </c:pt>
                <c:pt idx="594">
                  <c:v>624.90688934953516</c:v>
                </c:pt>
                <c:pt idx="595">
                  <c:v>614.10947288951638</c:v>
                </c:pt>
                <c:pt idx="596">
                  <c:v>603.31497294503072</c:v>
                </c:pt>
                <c:pt idx="597">
                  <c:v>592.52344356036087</c:v>
                </c:pt>
                <c:pt idx="598">
                  <c:v>581.73493775751945</c:v>
                </c:pt>
                <c:pt idx="599">
                  <c:v>570.94950755228865</c:v>
                </c:pt>
                <c:pt idx="600">
                  <c:v>560.16720397004474</c:v>
                </c:pt>
                <c:pt idx="601">
                  <c:v>549.38807706136913</c:v>
                </c:pt>
                <c:pt idx="602">
                  <c:v>538.61217591744821</c:v>
                </c:pt>
                <c:pt idx="603">
                  <c:v>527.83954868526394</c:v>
                </c:pt>
                <c:pt idx="604">
                  <c:v>517.07024258257695</c:v>
                </c:pt>
                <c:pt idx="605">
                  <c:v>506.30430391270414</c:v>
                </c:pt>
                <c:pt idx="606">
                  <c:v>495.54177807909315</c:v>
                </c:pt>
                <c:pt idx="607">
                  <c:v>484.78270959969524</c:v>
                </c:pt>
                <c:pt idx="608">
                  <c:v>474.02714212113875</c:v>
                </c:pt>
                <c:pt idx="609">
                  <c:v>463.27511843270531</c:v>
                </c:pt>
                <c:pt idx="610">
                  <c:v>452.52668048011054</c:v>
                </c:pt>
                <c:pt idx="611">
                  <c:v>441.7818693790914</c:v>
                </c:pt>
                <c:pt idx="612">
                  <c:v>431.04072542880226</c:v>
                </c:pt>
                <c:pt idx="613">
                  <c:v>420.3032881250216</c:v>
                </c:pt>
                <c:pt idx="614">
                  <c:v>409.56959617317142</c:v>
                </c:pt>
                <c:pt idx="615">
                  <c:v>398.83968750115127</c:v>
                </c:pt>
                <c:pt idx="616">
                  <c:v>388.11359927198913</c:v>
                </c:pt>
                <c:pt idx="617">
                  <c:v>377.39136789631095</c:v>
                </c:pt>
                <c:pt idx="618">
                  <c:v>366.67302904463099</c:v>
                </c:pt>
                <c:pt idx="619">
                  <c:v>355.95861765946472</c:v>
                </c:pt>
                <c:pt idx="620">
                  <c:v>345.24816796726668</c:v>
                </c:pt>
                <c:pt idx="621">
                  <c:v>334.54171349019509</c:v>
                </c:pt>
                <c:pt idx="622">
                  <c:v>323.83928705770495</c:v>
                </c:pt>
                <c:pt idx="623">
                  <c:v>313.14092081797213</c:v>
                </c:pt>
                <c:pt idx="624">
                  <c:v>302.44664624914998</c:v>
                </c:pt>
                <c:pt idx="625">
                  <c:v>291.75649417046054</c:v>
                </c:pt>
                <c:pt idx="626">
                  <c:v>281.0704947531226</c:v>
                </c:pt>
                <c:pt idx="627">
                  <c:v>270.38867753111805</c:v>
                </c:pt>
                <c:pt idx="628">
                  <c:v>259.71107141179886</c:v>
                </c:pt>
                <c:pt idx="629">
                  <c:v>249.03770468633653</c:v>
                </c:pt>
                <c:pt idx="630">
                  <c:v>238.36860504001572</c:v>
                </c:pt>
                <c:pt idx="631">
                  <c:v>227.70379956237426</c:v>
                </c:pt>
                <c:pt idx="632">
                  <c:v>217.04331475719127</c:v>
                </c:pt>
                <c:pt idx="633">
                  <c:v>206.38717655232529</c:v>
                </c:pt>
                <c:pt idx="634">
                  <c:v>195.73541030940436</c:v>
                </c:pt>
                <c:pt idx="635">
                  <c:v>185.08804083336983</c:v>
                </c:pt>
                <c:pt idx="636">
                  <c:v>174.44509238187575</c:v>
                </c:pt>
                <c:pt idx="637">
                  <c:v>163.80658867454582</c:v>
                </c:pt>
                <c:pt idx="638">
                  <c:v>153.17255290208945</c:v>
                </c:pt>
                <c:pt idx="639">
                  <c:v>142.54300773527902</c:v>
                </c:pt>
                <c:pt idx="640">
                  <c:v>131.91797533378997</c:v>
                </c:pt>
                <c:pt idx="641">
                  <c:v>121.29747735490554</c:v>
                </c:pt>
                <c:pt idx="642">
                  <c:v>110.68153496208794</c:v>
                </c:pt>
                <c:pt idx="643">
                  <c:v>100.07016883341764</c:v>
                </c:pt>
                <c:pt idx="644">
                  <c:v>89.463399169902644</c:v>
                </c:pt>
                <c:pt idx="645">
                  <c:v>78.861245703659364</c:v>
                </c:pt>
                <c:pt idx="646">
                  <c:v>68.263727705966787</c:v>
                </c:pt>
                <c:pt idx="647">
                  <c:v>57.670863995195738</c:v>
                </c:pt>
                <c:pt idx="648">
                  <c:v>47.082672944614842</c:v>
                </c:pt>
                <c:pt idx="649">
                  <c:v>36.49917249007482</c:v>
                </c:pt>
                <c:pt idx="650">
                  <c:v>25.920380137572835</c:v>
                </c:pt>
                <c:pt idx="651">
                  <c:v>15.346312970698486</c:v>
                </c:pt>
                <c:pt idx="652">
                  <c:v>4.7769876579630619</c:v>
                </c:pt>
                <c:pt idx="653">
                  <c:v>-5.7875795399863339</c:v>
                </c:pt>
                <c:pt idx="654">
                  <c:v>-5.798141721721362</c:v>
                </c:pt>
                <c:pt idx="655">
                  <c:v>-5.8087038986745769</c:v>
                </c:pt>
                <c:pt idx="656">
                  <c:v>-5.8192660708459636</c:v>
                </c:pt>
                <c:pt idx="657">
                  <c:v>-5.829828238235506</c:v>
                </c:pt>
                <c:pt idx="658">
                  <c:v>-5.8403904008431899</c:v>
                </c:pt>
                <c:pt idx="659">
                  <c:v>-5.8509525586689994</c:v>
                </c:pt>
                <c:pt idx="660">
                  <c:v>-5.8615147117129194</c:v>
                </c:pt>
                <c:pt idx="661">
                  <c:v>-5.8720768599749347</c:v>
                </c:pt>
                <c:pt idx="662">
                  <c:v>-5.8826390034550302</c:v>
                </c:pt>
                <c:pt idx="663">
                  <c:v>-5.89320114215319</c:v>
                </c:pt>
                <c:pt idx="664">
                  <c:v>-5.903763276069399</c:v>
                </c:pt>
                <c:pt idx="665">
                  <c:v>-5.914325405203642</c:v>
                </c:pt>
                <c:pt idx="666">
                  <c:v>-5.9248875295559031</c:v>
                </c:pt>
                <c:pt idx="667">
                  <c:v>-5.9354496491261681</c:v>
                </c:pt>
                <c:pt idx="668">
                  <c:v>-5.946011763914421</c:v>
                </c:pt>
                <c:pt idx="669">
                  <c:v>-5.9565738739206466</c:v>
                </c:pt>
                <c:pt idx="670">
                  <c:v>-5.9671359791448291</c:v>
                </c:pt>
                <c:pt idx="671">
                  <c:v>-5.9776980795869541</c:v>
                </c:pt>
                <c:pt idx="672">
                  <c:v>-5.9882601752470057</c:v>
                </c:pt>
                <c:pt idx="673">
                  <c:v>-5.9988222661249688</c:v>
                </c:pt>
                <c:pt idx="674">
                  <c:v>-6.0093843522208283</c:v>
                </c:pt>
                <c:pt idx="675">
                  <c:v>-6.0199464335345683</c:v>
                </c:pt>
                <c:pt idx="676">
                  <c:v>-6.0305085100661735</c:v>
                </c:pt>
                <c:pt idx="677">
                  <c:v>-6.0410705818156289</c:v>
                </c:pt>
                <c:pt idx="678">
                  <c:v>-6.0516326487829195</c:v>
                </c:pt>
                <c:pt idx="679">
                  <c:v>-6.0621947109680301</c:v>
                </c:pt>
                <c:pt idx="680">
                  <c:v>-6.0727567683709447</c:v>
                </c:pt>
                <c:pt idx="681">
                  <c:v>-6.0833188209916482</c:v>
                </c:pt>
                <c:pt idx="682">
                  <c:v>-6.0938808688301256</c:v>
                </c:pt>
                <c:pt idx="683">
                  <c:v>-6.1044429118863608</c:v>
                </c:pt>
                <c:pt idx="684">
                  <c:v>-6.1150049501603396</c:v>
                </c:pt>
                <c:pt idx="685">
                  <c:v>-6.1255669836520461</c:v>
                </c:pt>
                <c:pt idx="686">
                  <c:v>-6.1361290123614651</c:v>
                </c:pt>
                <c:pt idx="687">
                  <c:v>-6.1466910362885816</c:v>
                </c:pt>
                <c:pt idx="688">
                  <c:v>-6.1572530554333795</c:v>
                </c:pt>
                <c:pt idx="689">
                  <c:v>-6.1678150697958438</c:v>
                </c:pt>
                <c:pt idx="690">
                  <c:v>-6.1783770793759594</c:v>
                </c:pt>
                <c:pt idx="691">
                  <c:v>-6.1889390841737111</c:v>
                </c:pt>
                <c:pt idx="692">
                  <c:v>-6.1995010841890839</c:v>
                </c:pt>
                <c:pt idx="693">
                  <c:v>-6.2100630794220617</c:v>
                </c:pt>
                <c:pt idx="694">
                  <c:v>-6.2206250698726295</c:v>
                </c:pt>
                <c:pt idx="695">
                  <c:v>-6.2311870555407722</c:v>
                </c:pt>
                <c:pt idx="696">
                  <c:v>-6.2417490364264747</c:v>
                </c:pt>
                <c:pt idx="697">
                  <c:v>-6.252311012529721</c:v>
                </c:pt>
                <c:pt idx="698">
                  <c:v>-6.262872983850496</c:v>
                </c:pt>
                <c:pt idx="699">
                  <c:v>-6.2734349503887845</c:v>
                </c:pt>
                <c:pt idx="700">
                  <c:v>-6.2839969121445716</c:v>
                </c:pt>
                <c:pt idx="701">
                  <c:v>-6.2945588691178411</c:v>
                </c:pt>
                <c:pt idx="702">
                  <c:v>-6.305120821308579</c:v>
                </c:pt>
                <c:pt idx="703">
                  <c:v>-6.3156827687167691</c:v>
                </c:pt>
                <c:pt idx="704">
                  <c:v>-6.3262447113423965</c:v>
                </c:pt>
                <c:pt idx="705">
                  <c:v>-6.3368066491854451</c:v>
                </c:pt>
                <c:pt idx="706">
                  <c:v>-6.3473685822459007</c:v>
                </c:pt>
                <c:pt idx="707">
                  <c:v>-6.3579305105237474</c:v>
                </c:pt>
                <c:pt idx="708">
                  <c:v>-6.3684924340189699</c:v>
                </c:pt>
                <c:pt idx="709">
                  <c:v>-6.3790543527315533</c:v>
                </c:pt>
                <c:pt idx="710">
                  <c:v>-6.3896162666614815</c:v>
                </c:pt>
                <c:pt idx="711">
                  <c:v>-6.4001781758087404</c:v>
                </c:pt>
                <c:pt idx="712">
                  <c:v>-6.4107400801733139</c:v>
                </c:pt>
                <c:pt idx="713">
                  <c:v>-6.4213019797551869</c:v>
                </c:pt>
                <c:pt idx="714">
                  <c:v>-6.4318638745543435</c:v>
                </c:pt>
                <c:pt idx="715">
                  <c:v>-6.4424257645707694</c:v>
                </c:pt>
                <c:pt idx="716">
                  <c:v>-6.4529876498044487</c:v>
                </c:pt>
                <c:pt idx="717">
                  <c:v>-6.4635495302553663</c:v>
                </c:pt>
                <c:pt idx="718">
                  <c:v>-6.474111405923507</c:v>
                </c:pt>
                <c:pt idx="719">
                  <c:v>-6.4846732768088549</c:v>
                </c:pt>
                <c:pt idx="720">
                  <c:v>-6.4952351429113957</c:v>
                </c:pt>
                <c:pt idx="721">
                  <c:v>-6.5057970042311135</c:v>
                </c:pt>
                <c:pt idx="722">
                  <c:v>-6.5163588607679932</c:v>
                </c:pt>
                <c:pt idx="723">
                  <c:v>-6.5269207125220188</c:v>
                </c:pt>
                <c:pt idx="724">
                  <c:v>-6.537482559493176</c:v>
                </c:pt>
                <c:pt idx="725">
                  <c:v>-6.548044401681449</c:v>
                </c:pt>
                <c:pt idx="726">
                  <c:v>-6.5586062390868225</c:v>
                </c:pt>
                <c:pt idx="727">
                  <c:v>-6.5691680717092815</c:v>
                </c:pt>
                <c:pt idx="728">
                  <c:v>-6.5797298995488109</c:v>
                </c:pt>
                <c:pt idx="729">
                  <c:v>-6.5902917226053948</c:v>
                </c:pt>
                <c:pt idx="730">
                  <c:v>-6.6008535408790188</c:v>
                </c:pt>
                <c:pt idx="731">
                  <c:v>-6.611415354369667</c:v>
                </c:pt>
                <c:pt idx="732">
                  <c:v>-6.6219771630773243</c:v>
                </c:pt>
                <c:pt idx="733">
                  <c:v>-6.6325389670019748</c:v>
                </c:pt>
                <c:pt idx="734">
                  <c:v>-6.6431007661436041</c:v>
                </c:pt>
                <c:pt idx="735">
                  <c:v>-6.6536625605021964</c:v>
                </c:pt>
                <c:pt idx="736">
                  <c:v>-6.6642243500777365</c:v>
                </c:pt>
                <c:pt idx="737">
                  <c:v>-6.6747861348702084</c:v>
                </c:pt>
                <c:pt idx="738">
                  <c:v>-6.685347914879598</c:v>
                </c:pt>
                <c:pt idx="739">
                  <c:v>-6.6959096901058892</c:v>
                </c:pt>
                <c:pt idx="740">
                  <c:v>-6.7064714605490678</c:v>
                </c:pt>
                <c:pt idx="741">
                  <c:v>-6.7170332262091179</c:v>
                </c:pt>
                <c:pt idx="742">
                  <c:v>-6.7275949870860234</c:v>
                </c:pt>
                <c:pt idx="743">
                  <c:v>-6.7381567431797702</c:v>
                </c:pt>
                <c:pt idx="744">
                  <c:v>-6.7487184944903422</c:v>
                </c:pt>
                <c:pt idx="745">
                  <c:v>-6.7592802410177244</c:v>
                </c:pt>
                <c:pt idx="746">
                  <c:v>-6.7698419827619016</c:v>
                </c:pt>
                <c:pt idx="747">
                  <c:v>-6.7804037197228588</c:v>
                </c:pt>
                <c:pt idx="748">
                  <c:v>-6.7909654519005809</c:v>
                </c:pt>
                <c:pt idx="749">
                  <c:v>-6.8015271792950518</c:v>
                </c:pt>
                <c:pt idx="750">
                  <c:v>-6.8120889019062565</c:v>
                </c:pt>
                <c:pt idx="751">
                  <c:v>-6.8226506197341799</c:v>
                </c:pt>
                <c:pt idx="752">
                  <c:v>-6.8332123327788068</c:v>
                </c:pt>
                <c:pt idx="753">
                  <c:v>-6.8437740410401213</c:v>
                </c:pt>
                <c:pt idx="754">
                  <c:v>-6.8543357445181083</c:v>
                </c:pt>
                <c:pt idx="755">
                  <c:v>-6.8648974432127536</c:v>
                </c:pt>
                <c:pt idx="756">
                  <c:v>-6.8754591371240412</c:v>
                </c:pt>
                <c:pt idx="757">
                  <c:v>-6.8860208262519551</c:v>
                </c:pt>
                <c:pt idx="758">
                  <c:v>-6.8965825105964811</c:v>
                </c:pt>
                <c:pt idx="759">
                  <c:v>-6.9071441901576032</c:v>
                </c:pt>
                <c:pt idx="760">
                  <c:v>-6.9177058649353063</c:v>
                </c:pt>
                <c:pt idx="761">
                  <c:v>-6.9282675349295753</c:v>
                </c:pt>
                <c:pt idx="762">
                  <c:v>-6.9388292001403951</c:v>
                </c:pt>
                <c:pt idx="763">
                  <c:v>-6.9493908605677497</c:v>
                </c:pt>
                <c:pt idx="764">
                  <c:v>-6.9599525162116249</c:v>
                </c:pt>
                <c:pt idx="765">
                  <c:v>-6.9705141670720048</c:v>
                </c:pt>
                <c:pt idx="766">
                  <c:v>-6.9810758131488742</c:v>
                </c:pt>
                <c:pt idx="767">
                  <c:v>-6.991637454442218</c:v>
                </c:pt>
                <c:pt idx="768">
                  <c:v>-7.0021990909520202</c:v>
                </c:pt>
                <c:pt idx="769">
                  <c:v>-7.0127607226782667</c:v>
                </c:pt>
                <c:pt idx="770">
                  <c:v>-7.0233223496209414</c:v>
                </c:pt>
                <c:pt idx="771">
                  <c:v>-7.0338839717800292</c:v>
                </c:pt>
                <c:pt idx="772">
                  <c:v>-7.0444455891555151</c:v>
                </c:pt>
                <c:pt idx="773">
                  <c:v>-7.055007201747383</c:v>
                </c:pt>
                <c:pt idx="774">
                  <c:v>-7.0655688095556188</c:v>
                </c:pt>
                <c:pt idx="775">
                  <c:v>-7.0761304125802065</c:v>
                </c:pt>
                <c:pt idx="776">
                  <c:v>-7.0866920108211309</c:v>
                </c:pt>
                <c:pt idx="777">
                  <c:v>-7.0972536042783769</c:v>
                </c:pt>
                <c:pt idx="778">
                  <c:v>-7.1078151929519287</c:v>
                </c:pt>
                <c:pt idx="779">
                  <c:v>-7.1183767768417718</c:v>
                </c:pt>
                <c:pt idx="780">
                  <c:v>-7.1289383559478905</c:v>
                </c:pt>
                <c:pt idx="781">
                  <c:v>-7.1394999302702695</c:v>
                </c:pt>
                <c:pt idx="782">
                  <c:v>-7.1500614998088938</c:v>
                </c:pt>
                <c:pt idx="783">
                  <c:v>-7.1606230645637483</c:v>
                </c:pt>
                <c:pt idx="784">
                  <c:v>-7.171184624534817</c:v>
                </c:pt>
                <c:pt idx="785">
                  <c:v>-7.1817461797220856</c:v>
                </c:pt>
                <c:pt idx="786">
                  <c:v>-7.1923077301255383</c:v>
                </c:pt>
                <c:pt idx="787">
                  <c:v>-7.2028692757451598</c:v>
                </c:pt>
                <c:pt idx="788">
                  <c:v>-7.2134308165809342</c:v>
                </c:pt>
                <c:pt idx="789">
                  <c:v>-7.2239923526328473</c:v>
                </c:pt>
                <c:pt idx="790">
                  <c:v>-7.2345538839008832</c:v>
                </c:pt>
                <c:pt idx="791">
                  <c:v>-7.2451154103850275</c:v>
                </c:pt>
                <c:pt idx="792">
                  <c:v>-7.2556769320852643</c:v>
                </c:pt>
                <c:pt idx="793">
                  <c:v>-7.2662384490015786</c:v>
                </c:pt>
                <c:pt idx="794">
                  <c:v>-7.2767999611339542</c:v>
                </c:pt>
                <c:pt idx="795">
                  <c:v>-7.2873614684823771</c:v>
                </c:pt>
                <c:pt idx="796">
                  <c:v>-7.2979229710468312</c:v>
                </c:pt>
                <c:pt idx="797">
                  <c:v>-7.3084844688273014</c:v>
                </c:pt>
                <c:pt idx="798">
                  <c:v>-7.3190459618237727</c:v>
                </c:pt>
                <c:pt idx="799">
                  <c:v>-7.3296074500362298</c:v>
                </c:pt>
                <c:pt idx="800">
                  <c:v>-7.3401689334646569</c:v>
                </c:pt>
                <c:pt idx="801">
                  <c:v>-7.3507304121090398</c:v>
                </c:pt>
                <c:pt idx="802">
                  <c:v>-7.3612918859693623</c:v>
                </c:pt>
                <c:pt idx="803">
                  <c:v>-7.3718533550456096</c:v>
                </c:pt>
                <c:pt idx="804">
                  <c:v>-7.3824148193377663</c:v>
                </c:pt>
                <c:pt idx="805">
                  <c:v>-7.3929762788458175</c:v>
                </c:pt>
                <c:pt idx="806">
                  <c:v>-7.4035377335697472</c:v>
                </c:pt>
                <c:pt idx="807">
                  <c:v>-7.4140991835095402</c:v>
                </c:pt>
                <c:pt idx="808">
                  <c:v>-7.4246606286651824</c:v>
                </c:pt>
                <c:pt idx="809">
                  <c:v>-7.4352220690366577</c:v>
                </c:pt>
                <c:pt idx="810">
                  <c:v>-7.4457835046239502</c:v>
                </c:pt>
                <c:pt idx="811">
                  <c:v>-7.4563449354270457</c:v>
                </c:pt>
                <c:pt idx="812">
                  <c:v>-7.4669063614459281</c:v>
                </c:pt>
                <c:pt idx="813">
                  <c:v>-7.4774677826805833</c:v>
                </c:pt>
                <c:pt idx="814">
                  <c:v>-7.4880291991309953</c:v>
                </c:pt>
                <c:pt idx="815">
                  <c:v>-7.4985906107971489</c:v>
                </c:pt>
                <c:pt idx="816">
                  <c:v>-7.5091520176790283</c:v>
                </c:pt>
                <c:pt idx="817">
                  <c:v>-7.5197134197766191</c:v>
                </c:pt>
                <c:pt idx="818">
                  <c:v>-7.5302748170899054</c:v>
                </c:pt>
                <c:pt idx="819">
                  <c:v>-7.540836209618873</c:v>
                </c:pt>
                <c:pt idx="820">
                  <c:v>-7.5513975973635059</c:v>
                </c:pt>
                <c:pt idx="821">
                  <c:v>-7.561958980323789</c:v>
                </c:pt>
                <c:pt idx="822">
                  <c:v>-7.5725203584997063</c:v>
                </c:pt>
                <c:pt idx="823">
                  <c:v>-7.5830817318912436</c:v>
                </c:pt>
                <c:pt idx="824">
                  <c:v>-7.5936431004983849</c:v>
                </c:pt>
                <c:pt idx="825">
                  <c:v>-7.6042044643211151</c:v>
                </c:pt>
                <c:pt idx="826">
                  <c:v>-7.61476582335942</c:v>
                </c:pt>
                <c:pt idx="827">
                  <c:v>-7.6253271776132827</c:v>
                </c:pt>
                <c:pt idx="828">
                  <c:v>-7.6358885270826891</c:v>
                </c:pt>
                <c:pt idx="829">
                  <c:v>-7.6464498717676239</c:v>
                </c:pt>
                <c:pt idx="830">
                  <c:v>-7.6570112116680713</c:v>
                </c:pt>
                <c:pt idx="831">
                  <c:v>-7.6675725467840161</c:v>
                </c:pt>
                <c:pt idx="832">
                  <c:v>-7.6781338771154433</c:v>
                </c:pt>
                <c:pt idx="833">
                  <c:v>-7.6886952026623376</c:v>
                </c:pt>
                <c:pt idx="834">
                  <c:v>-7.6992565234246841</c:v>
                </c:pt>
                <c:pt idx="835">
                  <c:v>-7.7098178394024668</c:v>
                </c:pt>
                <c:pt idx="836">
                  <c:v>-7.7203791505956714</c:v>
                </c:pt>
                <c:pt idx="837">
                  <c:v>-7.7309404570042819</c:v>
                </c:pt>
                <c:pt idx="838">
                  <c:v>-7.7415017586282833</c:v>
                </c:pt>
                <c:pt idx="839">
                  <c:v>-7.7520630554676604</c:v>
                </c:pt>
                <c:pt idx="840">
                  <c:v>-7.7626243475223982</c:v>
                </c:pt>
                <c:pt idx="841">
                  <c:v>-7.7731856347924806</c:v>
                </c:pt>
                <c:pt idx="842">
                  <c:v>-7.7837469172778935</c:v>
                </c:pt>
                <c:pt idx="843">
                  <c:v>-7.7943081949786208</c:v>
                </c:pt>
                <c:pt idx="844">
                  <c:v>-7.8048694678946475</c:v>
                </c:pt>
                <c:pt idx="845">
                  <c:v>-7.8154307360259585</c:v>
                </c:pt>
                <c:pt idx="846">
                  <c:v>-7.8259919993725386</c:v>
                </c:pt>
                <c:pt idx="847">
                  <c:v>-7.836553257934372</c:v>
                </c:pt>
                <c:pt idx="848">
                  <c:v>-7.8471145117114443</c:v>
                </c:pt>
                <c:pt idx="849">
                  <c:v>-7.8576757607037395</c:v>
                </c:pt>
                <c:pt idx="850">
                  <c:v>-7.8682370049112427</c:v>
                </c:pt>
                <c:pt idx="851">
                  <c:v>-7.8787982443339386</c:v>
                </c:pt>
                <c:pt idx="852">
                  <c:v>-7.8893594789718122</c:v>
                </c:pt>
                <c:pt idx="853">
                  <c:v>-7.8999207088248475</c:v>
                </c:pt>
                <c:pt idx="854">
                  <c:v>-7.9104819338930303</c:v>
                </c:pt>
                <c:pt idx="855">
                  <c:v>-7.9210431541763446</c:v>
                </c:pt>
                <c:pt idx="856">
                  <c:v>-7.9316043696747753</c:v>
                </c:pt>
                <c:pt idx="857">
                  <c:v>-7.9421655803883073</c:v>
                </c:pt>
                <c:pt idx="858">
                  <c:v>-7.9527267863169255</c:v>
                </c:pt>
                <c:pt idx="859">
                  <c:v>-7.9632879874606148</c:v>
                </c:pt>
                <c:pt idx="860">
                  <c:v>-7.9738491838193593</c:v>
                </c:pt>
                <c:pt idx="861">
                  <c:v>-7.9844103753931446</c:v>
                </c:pt>
                <c:pt idx="862">
                  <c:v>-7.9949715621819548</c:v>
                </c:pt>
                <c:pt idx="863">
                  <c:v>-8.0055327441857749</c:v>
                </c:pt>
                <c:pt idx="864">
                  <c:v>-8.0160939214045897</c:v>
                </c:pt>
                <c:pt idx="865">
                  <c:v>-8.026655093838384</c:v>
                </c:pt>
                <c:pt idx="866">
                  <c:v>-8.0372162614871421</c:v>
                </c:pt>
                <c:pt idx="867">
                  <c:v>-8.0477774243508495</c:v>
                </c:pt>
                <c:pt idx="868">
                  <c:v>-8.0583385824294904</c:v>
                </c:pt>
                <c:pt idx="869">
                  <c:v>-8.0688997357230505</c:v>
                </c:pt>
                <c:pt idx="870">
                  <c:v>-8.0794608842315139</c:v>
                </c:pt>
                <c:pt idx="871">
                  <c:v>-8.0900220279548645</c:v>
                </c:pt>
                <c:pt idx="872">
                  <c:v>-8.1005831668930881</c:v>
                </c:pt>
                <c:pt idx="873">
                  <c:v>-8.1111443010461688</c:v>
                </c:pt>
                <c:pt idx="874">
                  <c:v>-8.1217054304140923</c:v>
                </c:pt>
                <c:pt idx="875">
                  <c:v>-8.1322665549968427</c:v>
                </c:pt>
                <c:pt idx="876">
                  <c:v>-8.1428276747944057</c:v>
                </c:pt>
                <c:pt idx="877">
                  <c:v>-8.1533887898067654</c:v>
                </c:pt>
                <c:pt idx="878">
                  <c:v>-8.1639499000339057</c:v>
                </c:pt>
                <c:pt idx="879">
                  <c:v>-8.1745110054758126</c:v>
                </c:pt>
                <c:pt idx="880">
                  <c:v>-8.1850721061324698</c:v>
                </c:pt>
                <c:pt idx="881">
                  <c:v>-8.1956332020038634</c:v>
                </c:pt>
                <c:pt idx="882">
                  <c:v>-8.2061942930899772</c:v>
                </c:pt>
                <c:pt idx="883">
                  <c:v>-8.216755379390797</c:v>
                </c:pt>
                <c:pt idx="884">
                  <c:v>-8.227316460906307</c:v>
                </c:pt>
                <c:pt idx="885">
                  <c:v>-8.237877537636491</c:v>
                </c:pt>
                <c:pt idx="886">
                  <c:v>-8.2484386095813349</c:v>
                </c:pt>
                <c:pt idx="887">
                  <c:v>-8.2589996767408227</c:v>
                </c:pt>
                <c:pt idx="888">
                  <c:v>-8.2695607391149402</c:v>
                </c:pt>
                <c:pt idx="889">
                  <c:v>-8.2801217967036713</c:v>
                </c:pt>
                <c:pt idx="890">
                  <c:v>-8.290682849507002</c:v>
                </c:pt>
                <c:pt idx="891">
                  <c:v>-8.3012438975249161</c:v>
                </c:pt>
                <c:pt idx="892">
                  <c:v>-8.3118049407573977</c:v>
                </c:pt>
                <c:pt idx="893">
                  <c:v>-8.3223659792044327</c:v>
                </c:pt>
                <c:pt idx="894">
                  <c:v>-8.3329270128660049</c:v>
                </c:pt>
                <c:pt idx="895">
                  <c:v>-8.3434880417421002</c:v>
                </c:pt>
                <c:pt idx="896">
                  <c:v>-8.3540490658327027</c:v>
                </c:pt>
                <c:pt idx="897">
                  <c:v>-8.3646100851377962</c:v>
                </c:pt>
                <c:pt idx="898">
                  <c:v>-8.3751710996573667</c:v>
                </c:pt>
                <c:pt idx="899">
                  <c:v>-8.3857321093913999</c:v>
                </c:pt>
                <c:pt idx="900">
                  <c:v>-8.3962931143398798</c:v>
                </c:pt>
                <c:pt idx="901">
                  <c:v>-8.4068541145027904</c:v>
                </c:pt>
                <c:pt idx="902">
                  <c:v>-8.4174151098801175</c:v>
                </c:pt>
                <c:pt idx="903">
                  <c:v>-8.4279761004718452</c:v>
                </c:pt>
                <c:pt idx="904">
                  <c:v>-8.4385370862779592</c:v>
                </c:pt>
                <c:pt idx="905">
                  <c:v>-8.4490980672984435</c:v>
                </c:pt>
                <c:pt idx="906">
                  <c:v>-8.4596590435332821</c:v>
                </c:pt>
                <c:pt idx="907">
                  <c:v>-8.4702200149824609</c:v>
                </c:pt>
                <c:pt idx="908">
                  <c:v>-8.4807809816459638</c:v>
                </c:pt>
                <c:pt idx="909">
                  <c:v>-8.4913419435237767</c:v>
                </c:pt>
                <c:pt idx="910">
                  <c:v>-8.5019029006158835</c:v>
                </c:pt>
                <c:pt idx="911">
                  <c:v>-8.51246385292227</c:v>
                </c:pt>
                <c:pt idx="912">
                  <c:v>-8.5230248004429203</c:v>
                </c:pt>
                <c:pt idx="913">
                  <c:v>-8.5335857431778184</c:v>
                </c:pt>
                <c:pt idx="914">
                  <c:v>-8.54414668112695</c:v>
                </c:pt>
                <c:pt idx="915">
                  <c:v>-8.5547076142903009</c:v>
                </c:pt>
                <c:pt idx="916">
                  <c:v>-8.5652685426678534</c:v>
                </c:pt>
                <c:pt idx="917">
                  <c:v>-8.5758294662595951</c:v>
                </c:pt>
                <c:pt idx="918">
                  <c:v>-8.5863903850655081</c:v>
                </c:pt>
                <c:pt idx="919">
                  <c:v>-8.5969512990855783</c:v>
                </c:pt>
                <c:pt idx="920">
                  <c:v>-8.6075122083197915</c:v>
                </c:pt>
                <c:pt idx="921">
                  <c:v>-8.6180731127681316</c:v>
                </c:pt>
                <c:pt idx="922">
                  <c:v>-8.6286340124305827</c:v>
                </c:pt>
                <c:pt idx="923">
                  <c:v>-8.6391949073071306</c:v>
                </c:pt>
                <c:pt idx="924">
                  <c:v>-8.6497557973977592</c:v>
                </c:pt>
                <c:pt idx="925">
                  <c:v>-8.6603166827024545</c:v>
                </c:pt>
                <c:pt idx="926">
                  <c:v>-8.6708775632212003</c:v>
                </c:pt>
                <c:pt idx="927">
                  <c:v>-8.6814384389539825</c:v>
                </c:pt>
                <c:pt idx="928">
                  <c:v>-8.6919993099007851</c:v>
                </c:pt>
                <c:pt idx="929">
                  <c:v>-8.702560176061592</c:v>
                </c:pt>
                <c:pt idx="930">
                  <c:v>-8.7131210374363892</c:v>
                </c:pt>
                <c:pt idx="931">
                  <c:v>-8.7236818940251624</c:v>
                </c:pt>
                <c:pt idx="932">
                  <c:v>-8.7342427458278937</c:v>
                </c:pt>
                <c:pt idx="933">
                  <c:v>-8.7448035928445709</c:v>
                </c:pt>
                <c:pt idx="934">
                  <c:v>-8.755364435075176</c:v>
                </c:pt>
                <c:pt idx="935">
                  <c:v>-8.765925272519695</c:v>
                </c:pt>
                <c:pt idx="936">
                  <c:v>-8.7764861051781136</c:v>
                </c:pt>
                <c:pt idx="937">
                  <c:v>-8.7870469330504157</c:v>
                </c:pt>
                <c:pt idx="938">
                  <c:v>-8.7976077561365855</c:v>
                </c:pt>
                <c:pt idx="939">
                  <c:v>-8.8081685744366087</c:v>
                </c:pt>
                <c:pt idx="940">
                  <c:v>-8.8187293879504693</c:v>
                </c:pt>
                <c:pt idx="941">
                  <c:v>-8.8292901966781532</c:v>
                </c:pt>
                <c:pt idx="942">
                  <c:v>-8.8398510006196442</c:v>
                </c:pt>
                <c:pt idx="943">
                  <c:v>-8.8504117997749283</c:v>
                </c:pt>
                <c:pt idx="944">
                  <c:v>-8.8609725941439894</c:v>
                </c:pt>
                <c:pt idx="945">
                  <c:v>-8.8715333837268116</c:v>
                </c:pt>
                <c:pt idx="946">
                  <c:v>-8.8820941685233805</c:v>
                </c:pt>
                <c:pt idx="947">
                  <c:v>-8.8926549485336821</c:v>
                </c:pt>
                <c:pt idx="948">
                  <c:v>-8.9032157237577003</c:v>
                </c:pt>
                <c:pt idx="949">
                  <c:v>-8.9137764941954192</c:v>
                </c:pt>
                <c:pt idx="950">
                  <c:v>-8.9243372598468227</c:v>
                </c:pt>
                <c:pt idx="951">
                  <c:v>-8.9348980207118984</c:v>
                </c:pt>
                <c:pt idx="952">
                  <c:v>-8.9454587767906286</c:v>
                </c:pt>
                <c:pt idx="953">
                  <c:v>-8.9560195280829991</c:v>
                </c:pt>
                <c:pt idx="954">
                  <c:v>-8.9665802745889955</c:v>
                </c:pt>
                <c:pt idx="955">
                  <c:v>-8.9771410163086021</c:v>
                </c:pt>
                <c:pt idx="956">
                  <c:v>-8.9877017532418026</c:v>
                </c:pt>
                <c:pt idx="957">
                  <c:v>-8.9982624853885831</c:v>
                </c:pt>
                <c:pt idx="958">
                  <c:v>-9.0088232127489274</c:v>
                </c:pt>
                <c:pt idx="959">
                  <c:v>-9.0193839353228213</c:v>
                </c:pt>
                <c:pt idx="960">
                  <c:v>-9.029944653110249</c:v>
                </c:pt>
                <c:pt idx="961">
                  <c:v>-9.0405053661111943</c:v>
                </c:pt>
                <c:pt idx="962">
                  <c:v>-9.051066074325643</c:v>
                </c:pt>
                <c:pt idx="963">
                  <c:v>-9.0616267777535811</c:v>
                </c:pt>
                <c:pt idx="964">
                  <c:v>-9.0721874763949923</c:v>
                </c:pt>
                <c:pt idx="965">
                  <c:v>-9.0827481702498609</c:v>
                </c:pt>
                <c:pt idx="966">
                  <c:v>-9.0933088593181726</c:v>
                </c:pt>
                <c:pt idx="967">
                  <c:v>-9.1038695435999113</c:v>
                </c:pt>
                <c:pt idx="968">
                  <c:v>-9.1144302230950629</c:v>
                </c:pt>
                <c:pt idx="969">
                  <c:v>-9.1249908978036114</c:v>
                </c:pt>
                <c:pt idx="970">
                  <c:v>-9.1355515677255426</c:v>
                </c:pt>
                <c:pt idx="971">
                  <c:v>-9.1461122328608404</c:v>
                </c:pt>
                <c:pt idx="972">
                  <c:v>-9.156672893209489</c:v>
                </c:pt>
                <c:pt idx="973">
                  <c:v>-9.167233548771474</c:v>
                </c:pt>
                <c:pt idx="974">
                  <c:v>-9.1777941995467813</c:v>
                </c:pt>
                <c:pt idx="975">
                  <c:v>-9.1883548455353932</c:v>
                </c:pt>
                <c:pt idx="976">
                  <c:v>-9.1989154867372971</c:v>
                </c:pt>
                <c:pt idx="977">
                  <c:v>-9.2094761231524753</c:v>
                </c:pt>
                <c:pt idx="978">
                  <c:v>-9.2200367547809137</c:v>
                </c:pt>
                <c:pt idx="979">
                  <c:v>-9.2305973816225979</c:v>
                </c:pt>
                <c:pt idx="980">
                  <c:v>-9.2411580036775121</c:v>
                </c:pt>
                <c:pt idx="981">
                  <c:v>-9.2517186209456419</c:v>
                </c:pt>
                <c:pt idx="982">
                  <c:v>-9.2622792334269715</c:v>
                </c:pt>
                <c:pt idx="983">
                  <c:v>-9.2728398411214847</c:v>
                </c:pt>
                <c:pt idx="984">
                  <c:v>-9.2834004440291675</c:v>
                </c:pt>
                <c:pt idx="985">
                  <c:v>-9.2939610421500038</c:v>
                </c:pt>
                <c:pt idx="986">
                  <c:v>-9.3045216354839795</c:v>
                </c:pt>
                <c:pt idx="987">
                  <c:v>-9.3150822240310784</c:v>
                </c:pt>
                <c:pt idx="988">
                  <c:v>-9.3256428077912865</c:v>
                </c:pt>
                <c:pt idx="989">
                  <c:v>-9.3362033867645877</c:v>
                </c:pt>
                <c:pt idx="990">
                  <c:v>-9.3467639609509678</c:v>
                </c:pt>
                <c:pt idx="991">
                  <c:v>-9.3573245303504109</c:v>
                </c:pt>
                <c:pt idx="992">
                  <c:v>-9.3678850949629009</c:v>
                </c:pt>
                <c:pt idx="993">
                  <c:v>-9.3784456547884236</c:v>
                </c:pt>
                <c:pt idx="994">
                  <c:v>-9.3890062098269631</c:v>
                </c:pt>
                <c:pt idx="995">
                  <c:v>-9.3995667600785051</c:v>
                </c:pt>
                <c:pt idx="996">
                  <c:v>-9.4101273055430337</c:v>
                </c:pt>
                <c:pt idx="997">
                  <c:v>-9.4206878462205346</c:v>
                </c:pt>
                <c:pt idx="998">
                  <c:v>-9.4312483821109918</c:v>
                </c:pt>
                <c:pt idx="999">
                  <c:v>-9.4418089132143912</c:v>
                </c:pt>
                <c:pt idx="1000">
                  <c:v>-9.4523694395307167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0-41C6-97FC-918778B1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19072"/>
        <c:axId val="149620992"/>
      </c:scatterChart>
      <c:valAx>
        <c:axId val="14961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20992"/>
        <c:crosses val="autoZero"/>
        <c:crossBetween val="midCat"/>
      </c:valAx>
      <c:valAx>
        <c:axId val="149620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61E-2"/>
              <c:y val="0.300654768153980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961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69712276531"/>
          <c:y val="0.4888892388451444"/>
          <c:w val="0.13679257663546773"/>
          <c:h val="0.15777777777777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Pandora (Pro24-6G BS)</c:v>
            </c:pt>
          </c:strCache>
        </c:strRef>
      </c:tx>
      <c:layout>
        <c:manualLayout>
          <c:xMode val="edge"/>
          <c:yMode val="edge"/>
          <c:x val="0.47127077646762688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33E-2"/>
          <c:y val="5.5426586068345711E-2"/>
          <c:w val="0.88973722710617964"/>
          <c:h val="0.82390179871348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0.62</c:v>
                </c:pt>
                <c:pt idx="4">
                  <c:v>0.66</c:v>
                </c:pt>
                <c:pt idx="5">
                  <c:v>0.68</c:v>
                </c:pt>
                <c:pt idx="6">
                  <c:v>0.8</c:v>
                </c:pt>
                <c:pt idx="7">
                  <c:v>0.84</c:v>
                </c:pt>
                <c:pt idx="8">
                  <c:v>0.88</c:v>
                </c:pt>
                <c:pt idx="9">
                  <c:v>0.92</c:v>
                </c:pt>
                <c:pt idx="10">
                  <c:v>0.96</c:v>
                </c:pt>
                <c:pt idx="11">
                  <c:v>1</c:v>
                </c:pt>
                <c:pt idx="12">
                  <c:v>1.08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250</c:v>
                </c:pt>
                <c:pt idx="2">
                  <c:v>210</c:v>
                </c:pt>
                <c:pt idx="3">
                  <c:v>160</c:v>
                </c:pt>
                <c:pt idx="4">
                  <c:v>150</c:v>
                </c:pt>
                <c:pt idx="5">
                  <c:v>142</c:v>
                </c:pt>
                <c:pt idx="6">
                  <c:v>62</c:v>
                </c:pt>
                <c:pt idx="7">
                  <c:v>48</c:v>
                </c:pt>
                <c:pt idx="8">
                  <c:v>34</c:v>
                </c:pt>
                <c:pt idx="9">
                  <c:v>24</c:v>
                </c:pt>
                <c:pt idx="10">
                  <c:v>15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8-4D3E-A59C-8AF2F5D3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8480"/>
        <c:axId val="193451520"/>
      </c:scatterChart>
      <c:valAx>
        <c:axId val="19342848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51520"/>
        <c:crosses val="autoZero"/>
        <c:crossBetween val="midCat"/>
      </c:valAx>
      <c:valAx>
        <c:axId val="19345152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428480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75"/>
</file>

<file path=xl/ctrlProps/ctrlProp10.xml><?xml version="1.0" encoding="utf-8"?>
<formControlPr xmlns="http://schemas.microsoft.com/office/spreadsheetml/2009/9/main" objectType="Spin" dx="15" fmlaLink="$C$32" max="6" min="3" noThreeD="1" page="10" val="3"/>
</file>

<file path=xl/ctrlProps/ctrlProp11.xml><?xml version="1.0" encoding="utf-8"?>
<formControlPr xmlns="http://schemas.microsoft.com/office/spreadsheetml/2009/9/main" objectType="Spin" dx="15" fmlaLink="$C$13" inc="50" max="30000" noThreeD="1" page="10" val="957"/>
</file>

<file path=xl/ctrlProps/ctrlProp12.xml><?xml version="1.0" encoding="utf-8"?>
<formControlPr xmlns="http://schemas.microsoft.com/office/spreadsheetml/2009/9/main" objectType="Spin" dx="15" fmlaLink="$C$11" inc="100" max="30000" noThreeD="1" page="10" val="1700"/>
</file>

<file path=xl/ctrlProps/ctrlProp13.xml><?xml version="1.0" encoding="utf-8"?>
<formControlPr xmlns="http://schemas.microsoft.com/office/spreadsheetml/2009/9/main" objectType="Spin" dx="15" fmlaLink="$C$11" inc="100" max="30000" noThreeD="1" page="10" val="1700"/>
</file>

<file path=xl/ctrlProps/ctrlProp14.xml><?xml version="1.0" encoding="utf-8"?>
<formControlPr xmlns="http://schemas.microsoft.com/office/spreadsheetml/2009/9/main" objectType="Spin" dx="15" fmlaLink="Stabilito!C11" inc="100" max="30000" noThreeD="1" page="10" val="1700"/>
</file>

<file path=xl/ctrlProps/ctrlProp15.xml><?xml version="1.0" encoding="utf-8"?>
<formControlPr xmlns="http://schemas.microsoft.com/office/spreadsheetml/2009/9/main" objectType="Spin" dx="15" fmlaLink="$B$43" inc="50" max="30000" noThreeD="1" page="10" val="200"/>
</file>

<file path=xl/ctrlProps/ctrlProp16.xml><?xml version="1.0" encoding="utf-8"?>
<formControlPr xmlns="http://schemas.microsoft.com/office/spreadsheetml/2009/9/main" objectType="Spin" dx="15" fmlaLink="$B$45" inc="50" max="30000" noThreeD="1" page="10" val="250"/>
</file>

<file path=xl/ctrlProps/ctrlProp17.xml><?xml version="1.0" encoding="utf-8"?>
<formControlPr xmlns="http://schemas.microsoft.com/office/spreadsheetml/2009/9/main" objectType="Spin" dx="15" fmlaLink="$B$51" inc="50" max="30000" noThreeD="1" page="10" val="4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1700"/>
</file>

<file path=xl/ctrlProps/ctrlProp2.xml><?xml version="1.0" encoding="utf-8"?>
<formControlPr xmlns="http://schemas.microsoft.com/office/spreadsheetml/2009/9/main" objectType="Spin" dx="15" fmlaLink="$C$11" inc="100" max="30000" noThreeD="1" page="10" val="1700"/>
</file>

<file path=xl/ctrlProps/ctrlProp20.xml><?xml version="1.0" encoding="utf-8"?>
<formControlPr xmlns="http://schemas.microsoft.com/office/spreadsheetml/2009/9/main" objectType="Spin" dx="15" fmlaLink="Stabilito!C11" inc="100" max="30000" noThreeD="1" page="10" val="1700"/>
</file>

<file path=xl/ctrlProps/ctrlProp3.xml><?xml version="1.0" encoding="utf-8"?>
<formControlPr xmlns="http://schemas.microsoft.com/office/spreadsheetml/2009/9/main" objectType="Spin" dx="15" fmlaLink="$C$12" inc="50" max="30000" noThreeD="1" page="10" val="61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90"/>
</file>

<file path=xl/ctrlProps/ctrlProp6.xml><?xml version="1.0" encoding="utf-8"?>
<formControlPr xmlns="http://schemas.microsoft.com/office/spreadsheetml/2009/9/main" objectType="Spin" dx="15" fmlaLink="$C$28" inc="10" max="30000" noThreeD="1" page="10" val="80"/>
</file>

<file path=xl/ctrlProps/ctrlProp7.xml><?xml version="1.0" encoding="utf-8"?>
<formControlPr xmlns="http://schemas.microsoft.com/office/spreadsheetml/2009/9/main" objectType="Spin" dx="15" fmlaLink="$C$29" inc="10" max="30000" noThreeD="1" page="10" val="180"/>
</file>

<file path=xl/ctrlProps/ctrlProp8.xml><?xml version="1.0" encoding="utf-8"?>
<formControlPr xmlns="http://schemas.microsoft.com/office/spreadsheetml/2009/9/main" objectType="Spin" dx="15" fmlaLink="$C$30" inc="10" max="30000" noThreeD="1" page="10" val="130"/>
</file>

<file path=xl/ctrlProps/ctrlProp9.xml><?xml version="1.0" encoding="utf-8"?>
<formControlPr xmlns="http://schemas.microsoft.com/office/spreadsheetml/2009/9/main" objectType="Spin" dx="15" fmlaLink="$C$31" max="30000" noThreeD="1" page="10" val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5" Type="http://schemas.openxmlformats.org/officeDocument/2006/relationships/image" Target="../media/image43.emf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488950</xdr:colOff>
      <xdr:row>1</xdr:row>
      <xdr:rowOff>139700</xdr:rowOff>
    </xdr:to>
    <xdr:grpSp>
      <xdr:nvGrpSpPr>
        <xdr:cNvPr id="5096993" name="Groupe 1">
          <a:extLst>
            <a:ext uri="{FF2B5EF4-FFF2-40B4-BE49-F238E27FC236}">
              <a16:creationId xmlns:a16="http://schemas.microsoft.com/office/drawing/2014/main" id="{00000000-0008-0000-0000-000021C64D00}"/>
            </a:ext>
          </a:extLst>
        </xdr:cNvPr>
        <xdr:cNvGrpSpPr>
          <a:grpSpLocks/>
        </xdr:cNvGrpSpPr>
      </xdr:nvGrpSpPr>
      <xdr:grpSpPr bwMode="auto">
        <a:xfrm>
          <a:off x="7365253" y="182282"/>
          <a:ext cx="463550" cy="114300"/>
          <a:chOff x="7067550" y="190500"/>
          <a:chExt cx="438150" cy="114300"/>
        </a:xfrm>
      </xdr:grpSpPr>
      <xdr:pic>
        <xdr:nvPicPr>
          <xdr:cNvPr id="5096999" name="Image 1">
            <a:extLst>
              <a:ext uri="{FF2B5EF4-FFF2-40B4-BE49-F238E27FC236}">
                <a16:creationId xmlns:a16="http://schemas.microsoft.com/office/drawing/2014/main" id="{00000000-0008-0000-0000-000027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097000" name="Image 2">
            <a:extLst>
              <a:ext uri="{FF2B5EF4-FFF2-40B4-BE49-F238E27FC236}">
                <a16:creationId xmlns:a16="http://schemas.microsoft.com/office/drawing/2014/main" id="{00000000-0008-0000-0000-000028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5</xdr:col>
      <xdr:colOff>16566</xdr:colOff>
      <xdr:row>1</xdr:row>
      <xdr:rowOff>1</xdr:rowOff>
    </xdr:from>
    <xdr:to>
      <xdr:col>10</xdr:col>
      <xdr:colOff>0</xdr:colOff>
      <xdr:row>24</xdr:row>
      <xdr:rowOff>24848</xdr:rowOff>
    </xdr:to>
    <xdr:graphicFrame macro="">
      <xdr:nvGraphicFramePr>
        <xdr:cNvPr id="5096994" name="Graphique 9">
          <a:extLst>
            <a:ext uri="{FF2B5EF4-FFF2-40B4-BE49-F238E27FC236}">
              <a16:creationId xmlns:a16="http://schemas.microsoft.com/office/drawing/2014/main" id="{00000000-0008-0000-0000-000022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6995" name="Graphique 19">
          <a:extLst>
            <a:ext uri="{FF2B5EF4-FFF2-40B4-BE49-F238E27FC236}">
              <a16:creationId xmlns:a16="http://schemas.microsoft.com/office/drawing/2014/main" id="{00000000-0008-0000-0000-000023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1722</xdr:rowOff>
    </xdr:to>
    <xdr:pic>
      <xdr:nvPicPr>
        <xdr:cNvPr id="5096996" name="Picture 8" descr="logoplasci">
          <a:extLst>
            <a:ext uri="{FF2B5EF4-FFF2-40B4-BE49-F238E27FC236}">
              <a16:creationId xmlns:a16="http://schemas.microsoft.com/office/drawing/2014/main" id="{00000000-0008-0000-0000-000024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36</xdr:row>
      <xdr:rowOff>133350</xdr:rowOff>
    </xdr:from>
    <xdr:to>
      <xdr:col>2</xdr:col>
      <xdr:colOff>850900</xdr:colOff>
      <xdr:row>48</xdr:row>
      <xdr:rowOff>41275</xdr:rowOff>
    </xdr:to>
    <xdr:pic>
      <xdr:nvPicPr>
        <xdr:cNvPr id="5096997" name="Image 1">
          <a:extLst>
            <a:ext uri="{FF2B5EF4-FFF2-40B4-BE49-F238E27FC236}">
              <a16:creationId xmlns:a16="http://schemas.microsoft.com/office/drawing/2014/main" id="{00000000-0008-0000-0000-000025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42875" y="5962650"/>
          <a:ext cx="1936750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565150</xdr:colOff>
      <xdr:row>9</xdr:row>
      <xdr:rowOff>12700</xdr:rowOff>
    </xdr:to>
    <xdr:pic>
      <xdr:nvPicPr>
        <xdr:cNvPr id="5096998" name="Image 2">
          <a:extLst>
            <a:ext uri="{FF2B5EF4-FFF2-40B4-BE49-F238E27FC236}">
              <a16:creationId xmlns:a16="http://schemas.microsoft.com/office/drawing/2014/main" id="{00000000-0008-0000-0000-000026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810750" y="488950"/>
          <a:ext cx="21526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752475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752475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4779983" name="Graphique 1">
          <a:extLst>
            <a:ext uri="{FF2B5EF4-FFF2-40B4-BE49-F238E27FC236}">
              <a16:creationId xmlns:a16="http://schemas.microsoft.com/office/drawing/2014/main" id="{00000000-0008-0000-0100-0000CF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4779984" name="Graphique 2">
          <a:extLst>
            <a:ext uri="{FF2B5EF4-FFF2-40B4-BE49-F238E27FC236}">
              <a16:creationId xmlns:a16="http://schemas.microsoft.com/office/drawing/2014/main" id="{00000000-0008-0000-0100-0000D0E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5</xdr:row>
      <xdr:rowOff>932</xdr:rowOff>
    </xdr:to>
    <xdr:pic>
      <xdr:nvPicPr>
        <xdr:cNvPr id="4779985" name="Picture 8" descr="logoplasci">
          <a:extLst>
            <a:ext uri="{FF2B5EF4-FFF2-40B4-BE49-F238E27FC236}">
              <a16:creationId xmlns:a16="http://schemas.microsoft.com/office/drawing/2014/main" id="{00000000-0008-0000-0100-0000D1EF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6510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139700</xdr:colOff>
      <xdr:row>38</xdr:row>
      <xdr:rowOff>120650</xdr:rowOff>
    </xdr:from>
    <xdr:to>
      <xdr:col>3</xdr:col>
      <xdr:colOff>723900</xdr:colOff>
      <xdr:row>46</xdr:row>
      <xdr:rowOff>0</xdr:rowOff>
    </xdr:to>
    <xdr:grpSp>
      <xdr:nvGrpSpPr>
        <xdr:cNvPr id="4779986" name="Groupe 1">
          <a:extLst>
            <a:ext uri="{FF2B5EF4-FFF2-40B4-BE49-F238E27FC236}">
              <a16:creationId xmlns:a16="http://schemas.microsoft.com/office/drawing/2014/main" id="{00000000-0008-0000-0100-0000D2EF4800}"/>
            </a:ext>
          </a:extLst>
        </xdr:cNvPr>
        <xdr:cNvGrpSpPr>
          <a:grpSpLocks/>
        </xdr:cNvGrpSpPr>
      </xdr:nvGrpSpPr>
      <xdr:grpSpPr bwMode="auto">
        <a:xfrm>
          <a:off x="1372347" y="6093385"/>
          <a:ext cx="1346200" cy="1134409"/>
          <a:chOff x="1362075" y="6410325"/>
          <a:chExt cx="1319468" cy="1181100"/>
        </a:xfrm>
      </xdr:grpSpPr>
      <xdr:sp macro="" textlink="">
        <xdr:nvSpPr>
          <xdr:cNvPr id="4779991" name="Line 320">
            <a:extLst>
              <a:ext uri="{FF2B5EF4-FFF2-40B4-BE49-F238E27FC236}">
                <a16:creationId xmlns:a16="http://schemas.microsoft.com/office/drawing/2014/main" id="{00000000-0008-0000-0100-0000D7EF48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4779992" name="Rectangle 314">
            <a:extLst>
              <a:ext uri="{FF2B5EF4-FFF2-40B4-BE49-F238E27FC236}">
                <a16:creationId xmlns:a16="http://schemas.microsoft.com/office/drawing/2014/main" id="{00000000-0008-0000-0100-0000D8EF48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3" name="Rectangle 315">
            <a:extLst>
              <a:ext uri="{FF2B5EF4-FFF2-40B4-BE49-F238E27FC236}">
                <a16:creationId xmlns:a16="http://schemas.microsoft.com/office/drawing/2014/main" id="{00000000-0008-0000-0100-0000D9EF48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779994" name="Line 316">
            <a:extLst>
              <a:ext uri="{FF2B5EF4-FFF2-40B4-BE49-F238E27FC236}">
                <a16:creationId xmlns:a16="http://schemas.microsoft.com/office/drawing/2014/main" id="{00000000-0008-0000-0100-0000DAEF48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5" name="Line 317">
            <a:extLst>
              <a:ext uri="{FF2B5EF4-FFF2-40B4-BE49-F238E27FC236}">
                <a16:creationId xmlns:a16="http://schemas.microsoft.com/office/drawing/2014/main" id="{00000000-0008-0000-0100-0000DBEF48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779996" name="Line 319">
            <a:extLst>
              <a:ext uri="{FF2B5EF4-FFF2-40B4-BE49-F238E27FC236}">
                <a16:creationId xmlns:a16="http://schemas.microsoft.com/office/drawing/2014/main" id="{00000000-0008-0000-0100-0000DCEF48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</xdr:grpSp>
    <xdr:clientData/>
  </xdr:twoCellAnchor>
  <xdr:twoCellAnchor>
    <xdr:from>
      <xdr:col>2</xdr:col>
      <xdr:colOff>260350</xdr:colOff>
      <xdr:row>49</xdr:row>
      <xdr:rowOff>19050</xdr:rowOff>
    </xdr:from>
    <xdr:to>
      <xdr:col>3</xdr:col>
      <xdr:colOff>514350</xdr:colOff>
      <xdr:row>54</xdr:row>
      <xdr:rowOff>120650</xdr:rowOff>
    </xdr:to>
    <xdr:sp macro="" textlink="">
      <xdr:nvSpPr>
        <xdr:cNvPr id="4779987" name="Oval 323">
          <a:extLst>
            <a:ext uri="{FF2B5EF4-FFF2-40B4-BE49-F238E27FC236}">
              <a16:creationId xmlns:a16="http://schemas.microsoft.com/office/drawing/2014/main" id="{00000000-0008-0000-0100-0000D3EF4800}"/>
            </a:ext>
          </a:extLst>
        </xdr:cNvPr>
        <xdr:cNvSpPr>
          <a:spLocks noChangeArrowheads="1"/>
        </xdr:cNvSpPr>
      </xdr:nvSpPr>
      <xdr:spPr bwMode="auto">
        <a:xfrm>
          <a:off x="1549400" y="7981950"/>
          <a:ext cx="1047750" cy="9271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698500</xdr:colOff>
      <xdr:row>51</xdr:row>
      <xdr:rowOff>57150</xdr:rowOff>
    </xdr:from>
    <xdr:to>
      <xdr:col>3</xdr:col>
      <xdr:colOff>88900</xdr:colOff>
      <xdr:row>52</xdr:row>
      <xdr:rowOff>76200</xdr:rowOff>
    </xdr:to>
    <xdr:sp macro="" textlink="">
      <xdr:nvSpPr>
        <xdr:cNvPr id="4779988" name="Oval 323">
          <a:extLst>
            <a:ext uri="{FF2B5EF4-FFF2-40B4-BE49-F238E27FC236}">
              <a16:creationId xmlns:a16="http://schemas.microsoft.com/office/drawing/2014/main" id="{00000000-0008-0000-0100-0000D4EF4800}"/>
            </a:ext>
          </a:extLst>
        </xdr:cNvPr>
        <xdr:cNvSpPr>
          <a:spLocks noChangeArrowheads="1"/>
        </xdr:cNvSpPr>
      </xdr:nvSpPr>
      <xdr:spPr bwMode="auto">
        <a:xfrm>
          <a:off x="1987550" y="8350250"/>
          <a:ext cx="184150" cy="184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19050</xdr:rowOff>
    </xdr:from>
    <xdr:to>
      <xdr:col>3</xdr:col>
      <xdr:colOff>0</xdr:colOff>
      <xdr:row>51</xdr:row>
      <xdr:rowOff>146050</xdr:rowOff>
    </xdr:to>
    <xdr:sp macro="" textlink="">
      <xdr:nvSpPr>
        <xdr:cNvPr id="4779989" name="Line 324">
          <a:extLst>
            <a:ext uri="{FF2B5EF4-FFF2-40B4-BE49-F238E27FC236}">
              <a16:creationId xmlns:a16="http://schemas.microsoft.com/office/drawing/2014/main" id="{00000000-0008-0000-0100-0000D5EF4800}"/>
            </a:ext>
          </a:extLst>
        </xdr:cNvPr>
        <xdr:cNvSpPr>
          <a:spLocks noChangeShapeType="1"/>
        </xdr:cNvSpPr>
      </xdr:nvSpPr>
      <xdr:spPr bwMode="auto">
        <a:xfrm>
          <a:off x="2082800" y="7981950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51</xdr:row>
      <xdr:rowOff>146050</xdr:rowOff>
    </xdr:from>
    <xdr:to>
      <xdr:col>3</xdr:col>
      <xdr:colOff>0</xdr:colOff>
      <xdr:row>52</xdr:row>
      <xdr:rowOff>88900</xdr:rowOff>
    </xdr:to>
    <xdr:sp macro="" textlink="">
      <xdr:nvSpPr>
        <xdr:cNvPr id="4779990" name="Line 324">
          <a:extLst>
            <a:ext uri="{FF2B5EF4-FFF2-40B4-BE49-F238E27FC236}">
              <a16:creationId xmlns:a16="http://schemas.microsoft.com/office/drawing/2014/main" id="{00000000-0008-0000-0100-0000D6EF4800}"/>
            </a:ext>
          </a:extLst>
        </xdr:cNvPr>
        <xdr:cNvSpPr>
          <a:spLocks noChangeShapeType="1"/>
        </xdr:cNvSpPr>
      </xdr:nvSpPr>
      <xdr:spPr bwMode="auto">
        <a:xfrm flipH="1">
          <a:off x="2082800" y="8439150"/>
          <a:ext cx="0" cy="107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sp macro="" textlink="">
      <xdr:nvSpPr>
        <xdr:cNvPr id="1425294" name="Object 1934" hidden="1">
          <a:extLst>
            <a:ext uri="{63B3BB69-23CF-44E3-9099-C40C66FF867C}">
              <a14:compatExt xmlns:a14="http://schemas.microsoft.com/office/drawing/2010/main" spid="_x0000_s1425294"/>
            </a:ext>
            <a:ext uri="{FF2B5EF4-FFF2-40B4-BE49-F238E27FC236}">
              <a16:creationId xmlns:a16="http://schemas.microsoft.com/office/drawing/2014/main" id="{00000000-0008-0000-0100-00008EBF15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981075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19050</xdr:colOff>
      <xdr:row>93</xdr:row>
      <xdr:rowOff>66675</xdr:rowOff>
    </xdr:from>
    <xdr:to>
      <xdr:col>4</xdr:col>
      <xdr:colOff>57150</xdr:colOff>
      <xdr:row>99</xdr:row>
      <xdr:rowOff>76200</xdr:rowOff>
    </xdr:to>
    <xdr:pic>
      <xdr:nvPicPr>
        <xdr:cNvPr id="2" name="Picture 19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135225"/>
          <a:ext cx="264795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10</xdr:col>
      <xdr:colOff>622300</xdr:colOff>
      <xdr:row>19</xdr:row>
      <xdr:rowOff>0</xdr:rowOff>
    </xdr:to>
    <xdr:graphicFrame macro="">
      <xdr:nvGraphicFramePr>
        <xdr:cNvPr id="5105813" name="Graphique 1">
          <a:extLst>
            <a:ext uri="{FF2B5EF4-FFF2-40B4-BE49-F238E27FC236}">
              <a16:creationId xmlns:a16="http://schemas.microsoft.com/office/drawing/2014/main" id="{00000000-0008-0000-0200-000095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37</xdr:row>
      <xdr:rowOff>0</xdr:rowOff>
    </xdr:from>
    <xdr:to>
      <xdr:col>10</xdr:col>
      <xdr:colOff>622300</xdr:colOff>
      <xdr:row>55</xdr:row>
      <xdr:rowOff>0</xdr:rowOff>
    </xdr:to>
    <xdr:graphicFrame macro="">
      <xdr:nvGraphicFramePr>
        <xdr:cNvPr id="5105814" name="Graphique 2">
          <a:extLst>
            <a:ext uri="{FF2B5EF4-FFF2-40B4-BE49-F238E27FC236}">
              <a16:creationId xmlns:a16="http://schemas.microsoft.com/office/drawing/2014/main" id="{00000000-0008-0000-0200-000096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19</xdr:row>
      <xdr:rowOff>0</xdr:rowOff>
    </xdr:from>
    <xdr:to>
      <xdr:col>10</xdr:col>
      <xdr:colOff>622300</xdr:colOff>
      <xdr:row>37</xdr:row>
      <xdr:rowOff>0</xdr:rowOff>
    </xdr:to>
    <xdr:graphicFrame macro="">
      <xdr:nvGraphicFramePr>
        <xdr:cNvPr id="5105815" name="Graphique 3">
          <a:extLst>
            <a:ext uri="{FF2B5EF4-FFF2-40B4-BE49-F238E27FC236}">
              <a16:creationId xmlns:a16="http://schemas.microsoft.com/office/drawing/2014/main" id="{00000000-0008-0000-0200-000097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55</xdr:row>
      <xdr:rowOff>0</xdr:rowOff>
    </xdr:from>
    <xdr:to>
      <xdr:col>10</xdr:col>
      <xdr:colOff>622300</xdr:colOff>
      <xdr:row>73</xdr:row>
      <xdr:rowOff>0</xdr:rowOff>
    </xdr:to>
    <xdr:graphicFrame macro="">
      <xdr:nvGraphicFramePr>
        <xdr:cNvPr id="5105816" name="Graphique 4">
          <a:extLst>
            <a:ext uri="{FF2B5EF4-FFF2-40B4-BE49-F238E27FC236}">
              <a16:creationId xmlns:a16="http://schemas.microsoft.com/office/drawing/2014/main" id="{00000000-0008-0000-0200-000098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44450</xdr:rowOff>
    </xdr:from>
    <xdr:to>
      <xdr:col>7</xdr:col>
      <xdr:colOff>215900</xdr:colOff>
      <xdr:row>19</xdr:row>
      <xdr:rowOff>133350</xdr:rowOff>
    </xdr:to>
    <xdr:graphicFrame macro="">
      <xdr:nvGraphicFramePr>
        <xdr:cNvPr id="5110822" name="Graphique 1">
          <a:extLst>
            <a:ext uri="{FF2B5EF4-FFF2-40B4-BE49-F238E27FC236}">
              <a16:creationId xmlns:a16="http://schemas.microsoft.com/office/drawing/2014/main" id="{00000000-0008-0000-0300-000026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273050</xdr:colOff>
      <xdr:row>1008</xdr:row>
      <xdr:rowOff>146050</xdr:rowOff>
    </xdr:from>
    <xdr:to>
      <xdr:col>16</xdr:col>
      <xdr:colOff>152400</xdr:colOff>
      <xdr:row>1010</xdr:row>
      <xdr:rowOff>82550</xdr:rowOff>
    </xdr:to>
    <xdr:sp macro="" textlink="">
      <xdr:nvSpPr>
        <xdr:cNvPr id="3393" name="Line 60"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SpPr>
          <a:spLocks noChangeShapeType="1"/>
        </xdr:cNvSpPr>
      </xdr:nvSpPr>
      <xdr:spPr bwMode="auto">
        <a:xfrm flipH="1">
          <a:off x="5759450" y="160172400"/>
          <a:ext cx="1098550" cy="25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1011</xdr:row>
      <xdr:rowOff>95250</xdr:rowOff>
    </xdr:from>
    <xdr:to>
      <xdr:col>17</xdr:col>
      <xdr:colOff>349250</xdr:colOff>
      <xdr:row>1013</xdr:row>
      <xdr:rowOff>139700</xdr:rowOff>
    </xdr:to>
    <xdr:sp macro="" textlink="">
      <xdr:nvSpPr>
        <xdr:cNvPr id="3394" name="Line 71"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5978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279400</xdr:colOff>
      <xdr:row>1012</xdr:row>
      <xdr:rowOff>139700</xdr:rowOff>
    </xdr:from>
    <xdr:to>
      <xdr:col>17</xdr:col>
      <xdr:colOff>349250</xdr:colOff>
      <xdr:row>1015</xdr:row>
      <xdr:rowOff>25400</xdr:rowOff>
    </xdr:to>
    <xdr:sp macro="" textlink="">
      <xdr:nvSpPr>
        <xdr:cNvPr id="3395" name="Line 71"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SpPr>
          <a:spLocks noChangeShapeType="1"/>
        </xdr:cNvSpPr>
      </xdr:nvSpPr>
      <xdr:spPr bwMode="auto">
        <a:xfrm flipH="1" flipV="1">
          <a:off x="5765800" y="160801050"/>
          <a:ext cx="1892300" cy="361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sp macro="" textlink="">
      <xdr:nvSpPr>
        <xdr:cNvPr id="3091" name="Object 19" hidden="1">
          <a:extLst>
            <a:ext uri="{63B3BB69-23CF-44E3-9099-C40C66FF867C}">
              <a14:compatExt xmlns:a14="http://schemas.microsoft.com/office/drawing/2010/main" spid="_x0000_s3091"/>
            </a:ex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sp macro="" textlink="">
      <xdr:nvSpPr>
        <xdr:cNvPr id="3092" name="Object 20" hidden="1">
          <a:extLst>
            <a:ext uri="{63B3BB69-23CF-44E3-9099-C40C66FF867C}">
              <a14:compatExt xmlns:a14="http://schemas.microsoft.com/office/drawing/2010/main" spid="_x0000_s3092"/>
            </a:ex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sp macro="" textlink="">
      <xdr:nvSpPr>
        <xdr:cNvPr id="3096" name="Object 24" hidden="1">
          <a:extLst>
            <a:ext uri="{63B3BB69-23CF-44E3-9099-C40C66FF867C}">
              <a14:compatExt xmlns:a14="http://schemas.microsoft.com/office/drawing/2010/main" spid="_x0000_s3096"/>
            </a:ex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sp macro="" textlink="">
      <xdr:nvSpPr>
        <xdr:cNvPr id="3112" name="Object 40" hidden="1">
          <a:extLst>
            <a:ext uri="{63B3BB69-23CF-44E3-9099-C40C66FF867C}">
              <a14:compatExt xmlns:a14="http://schemas.microsoft.com/office/drawing/2010/main" spid="_x0000_s3112"/>
            </a:ex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sp macro="" textlink="">
      <xdr:nvSpPr>
        <xdr:cNvPr id="3114" name="Object 42" hidden="1">
          <a:extLst>
            <a:ext uri="{63B3BB69-23CF-44E3-9099-C40C66FF867C}">
              <a14:compatExt xmlns:a14="http://schemas.microsoft.com/office/drawing/2010/main" spid="_x0000_s3114"/>
            </a:ex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sp macro="" textlink="">
      <xdr:nvSpPr>
        <xdr:cNvPr id="3115" name="Object 43" hidden="1">
          <a:extLst>
            <a:ext uri="{63B3BB69-23CF-44E3-9099-C40C66FF867C}">
              <a14:compatExt xmlns:a14="http://schemas.microsoft.com/office/drawing/2010/main" spid="_x0000_s3115"/>
            </a:ex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sp macro="" textlink="">
      <xdr:nvSpPr>
        <xdr:cNvPr id="3119" name="Object 47" hidden="1">
          <a:extLst>
            <a:ext uri="{63B3BB69-23CF-44E3-9099-C40C66FF867C}">
              <a14:compatExt xmlns:a14="http://schemas.microsoft.com/office/drawing/2010/main" spid="_x0000_s3119"/>
            </a:ex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sp macro="" textlink="">
      <xdr:nvSpPr>
        <xdr:cNvPr id="3120" name="Object 48" hidden="1">
          <a:extLst>
            <a:ext uri="{63B3BB69-23CF-44E3-9099-C40C66FF867C}">
              <a14:compatExt xmlns:a14="http://schemas.microsoft.com/office/drawing/2010/main" spid="_x0000_s3120"/>
            </a:ex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sp macro="" textlink="">
      <xdr:nvSpPr>
        <xdr:cNvPr id="3121" name="Object 49" hidden="1">
          <a:extLst>
            <a:ext uri="{63B3BB69-23CF-44E3-9099-C40C66FF867C}">
              <a14:compatExt xmlns:a14="http://schemas.microsoft.com/office/drawing/2010/main" spid="_x0000_s3121"/>
            </a:ex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sp macro="" textlink="">
      <xdr:nvSpPr>
        <xdr:cNvPr id="3122" name="Object 50" hidden="1">
          <a:extLst>
            <a:ext uri="{63B3BB69-23CF-44E3-9099-C40C66FF867C}">
              <a14:compatExt xmlns:a14="http://schemas.microsoft.com/office/drawing/2010/main" spid="_x0000_s3122"/>
            </a:ex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sp macro="" textlink="">
      <xdr:nvSpPr>
        <xdr:cNvPr id="3124" name="Object 52" hidden="1">
          <a:extLst>
            <a:ext uri="{63B3BB69-23CF-44E3-9099-C40C66FF867C}">
              <a14:compatExt xmlns:a14="http://schemas.microsoft.com/office/drawing/2010/main" spid="_x0000_s3124"/>
            </a:ex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sp macro="" textlink="">
      <xdr:nvSpPr>
        <xdr:cNvPr id="3125" name="Object 53" hidden="1">
          <a:extLst>
            <a:ext uri="{63B3BB69-23CF-44E3-9099-C40C66FF867C}">
              <a14:compatExt xmlns:a14="http://schemas.microsoft.com/office/drawing/2010/main" spid="_x0000_s3125"/>
            </a:ex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sp macro="" textlink="">
      <xdr:nvSpPr>
        <xdr:cNvPr id="3127" name="Object 55" hidden="1">
          <a:extLst>
            <a:ext uri="{63B3BB69-23CF-44E3-9099-C40C66FF867C}">
              <a14:compatExt xmlns:a14="http://schemas.microsoft.com/office/drawing/2010/main" spid="_x0000_s3127"/>
            </a:ex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sp macro="" textlink="">
      <xdr:nvSpPr>
        <xdr:cNvPr id="3129" name="Object 57" hidden="1">
          <a:extLst>
            <a:ext uri="{63B3BB69-23CF-44E3-9099-C40C66FF867C}">
              <a14:compatExt xmlns:a14="http://schemas.microsoft.com/office/drawing/2010/main" spid="_x0000_s3129"/>
            </a:ex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sp macro="" textlink="">
      <xdr:nvSpPr>
        <xdr:cNvPr id="3131" name="Object 59" hidden="1">
          <a:extLst>
            <a:ext uri="{63B3BB69-23CF-44E3-9099-C40C66FF867C}">
              <a14:compatExt xmlns:a14="http://schemas.microsoft.com/office/drawing/2010/main" spid="_x0000_s3131"/>
            </a:ex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sp macro="" textlink="">
      <xdr:nvSpPr>
        <xdr:cNvPr id="3134" name="Object 62" hidden="1">
          <a:extLst>
            <a:ext uri="{63B3BB69-23CF-44E3-9099-C40C66FF867C}">
              <a14:compatExt xmlns:a14="http://schemas.microsoft.com/office/drawing/2010/main" spid="_x0000_s3134"/>
            </a:ex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sp macro="" textlink="">
      <xdr:nvSpPr>
        <xdr:cNvPr id="3135" name="Object 63" hidden="1">
          <a:extLst>
            <a:ext uri="{63B3BB69-23CF-44E3-9099-C40C66FF867C}">
              <a14:compatExt xmlns:a14="http://schemas.microsoft.com/office/drawing/2010/main" spid="_x0000_s3135"/>
            </a:ex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sp macro="" textlink="">
      <xdr:nvSpPr>
        <xdr:cNvPr id="3141" name="Object 69" hidden="1">
          <a:extLst>
            <a:ext uri="{63B3BB69-23CF-44E3-9099-C40C66FF867C}">
              <a14:compatExt xmlns:a14="http://schemas.microsoft.com/office/drawing/2010/main" spid="_x0000_s3141"/>
            </a:ex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sp macro="" textlink="">
      <xdr:nvSpPr>
        <xdr:cNvPr id="3142" name="Object 70" hidden="1">
          <a:extLst>
            <a:ext uri="{63B3BB69-23CF-44E3-9099-C40C66FF867C}">
              <a14:compatExt xmlns:a14="http://schemas.microsoft.com/office/drawing/2010/main" spid="_x0000_s3142"/>
            </a:ex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sp macro="" textlink="">
      <xdr:nvSpPr>
        <xdr:cNvPr id="3157" name="Object 85" hidden="1">
          <a:extLst>
            <a:ext uri="{63B3BB69-23CF-44E3-9099-C40C66FF867C}">
              <a14:compatExt xmlns:a14="http://schemas.microsoft.com/office/drawing/2010/main" spid="_x0000_s3157"/>
            </a:ex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sp macro="" textlink="">
      <xdr:nvSpPr>
        <xdr:cNvPr id="3158" name="Object 86" hidden="1">
          <a:extLst>
            <a:ext uri="{63B3BB69-23CF-44E3-9099-C40C66FF867C}">
              <a14:compatExt xmlns:a14="http://schemas.microsoft.com/office/drawing/2010/main" spid="_x0000_s3158"/>
            </a:ex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sp macro="" textlink="">
      <xdr:nvSpPr>
        <xdr:cNvPr id="3161" name="Object 89" hidden="1">
          <a:extLst>
            <a:ext uri="{63B3BB69-23CF-44E3-9099-C40C66FF867C}">
              <a14:compatExt xmlns:a14="http://schemas.microsoft.com/office/drawing/2010/main" spid="_x0000_s3161"/>
            </a:ex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sp macro="" textlink="">
      <xdr:nvSpPr>
        <xdr:cNvPr id="3162" name="Object 90" hidden="1">
          <a:extLst>
            <a:ext uri="{63B3BB69-23CF-44E3-9099-C40C66FF867C}">
              <a14:compatExt xmlns:a14="http://schemas.microsoft.com/office/drawing/2010/main" spid="_x0000_s3162"/>
            </a:ex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sp macro="" textlink="">
      <xdr:nvSpPr>
        <xdr:cNvPr id="3167" name="Object 95" hidden="1">
          <a:extLst>
            <a:ext uri="{63B3BB69-23CF-44E3-9099-C40C66FF867C}">
              <a14:compatExt xmlns:a14="http://schemas.microsoft.com/office/drawing/2010/main" spid="_x0000_s3167"/>
            </a:ex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sp macro="" textlink="">
      <xdr:nvSpPr>
        <xdr:cNvPr id="3168" name="Object 96" hidden="1">
          <a:extLst>
            <a:ext uri="{63B3BB69-23CF-44E3-9099-C40C66FF867C}">
              <a14:compatExt xmlns:a14="http://schemas.microsoft.com/office/drawing/2010/main" spid="_x0000_s3168"/>
            </a:ex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sp macro="" textlink="">
      <xdr:nvSpPr>
        <xdr:cNvPr id="3169" name="Object 97" hidden="1">
          <a:extLst>
            <a:ext uri="{63B3BB69-23CF-44E3-9099-C40C66FF867C}">
              <a14:compatExt xmlns:a14="http://schemas.microsoft.com/office/drawing/2010/main" spid="_x0000_s3169"/>
            </a:ex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sp macro="" textlink="">
      <xdr:nvSpPr>
        <xdr:cNvPr id="3173" name="Object 101" hidden="1">
          <a:extLst>
            <a:ext uri="{63B3BB69-23CF-44E3-9099-C40C66FF867C}">
              <a14:compatExt xmlns:a14="http://schemas.microsoft.com/office/drawing/2010/main" spid="_x0000_s3173"/>
            </a:ex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sp macro="" textlink="">
      <xdr:nvSpPr>
        <xdr:cNvPr id="3174" name="Object 102" hidden="1">
          <a:extLst>
            <a:ext uri="{63B3BB69-23CF-44E3-9099-C40C66FF867C}">
              <a14:compatExt xmlns:a14="http://schemas.microsoft.com/office/drawing/2010/main" spid="_x0000_s3174"/>
            </a:ex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sp macro="" textlink="">
      <xdr:nvSpPr>
        <xdr:cNvPr id="3178" name="Object 106" hidden="1">
          <a:extLst>
            <a:ext uri="{63B3BB69-23CF-44E3-9099-C40C66FF867C}">
              <a14:compatExt xmlns:a14="http://schemas.microsoft.com/office/drawing/2010/main" spid="_x0000_s3178"/>
            </a:ex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sp macro="" textlink="">
      <xdr:nvSpPr>
        <xdr:cNvPr id="3188" name="Object 116" hidden="1">
          <a:extLst>
            <a:ext uri="{63B3BB69-23CF-44E3-9099-C40C66FF867C}">
              <a14:compatExt xmlns:a14="http://schemas.microsoft.com/office/drawing/2010/main" spid="_x0000_s3188"/>
            </a:ex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sp macro="" textlink="">
      <xdr:nvSpPr>
        <xdr:cNvPr id="3192" name="Object 120" hidden="1">
          <a:extLst>
            <a:ext uri="{63B3BB69-23CF-44E3-9099-C40C66FF867C}">
              <a14:compatExt xmlns:a14="http://schemas.microsoft.com/office/drawing/2010/main" spid="_x0000_s3192"/>
            </a:ex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sp macro="" textlink="">
      <xdr:nvSpPr>
        <xdr:cNvPr id="3220" name="Object 148" hidden="1">
          <a:extLst>
            <a:ext uri="{63B3BB69-23CF-44E3-9099-C40C66FF867C}">
              <a14:compatExt xmlns:a14="http://schemas.microsoft.com/office/drawing/2010/main" spid="_x0000_s3220"/>
            </a:ex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sp macro="" textlink="">
      <xdr:nvSpPr>
        <xdr:cNvPr id="3222" name="Object 150" hidden="1">
          <a:extLst>
            <a:ext uri="{63B3BB69-23CF-44E3-9099-C40C66FF867C}">
              <a14:compatExt xmlns:a14="http://schemas.microsoft.com/office/drawing/2010/main" spid="_x0000_s3222"/>
            </a:ex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sp macro="" textlink="">
      <xdr:nvSpPr>
        <xdr:cNvPr id="3223" name="Object 151" hidden="1">
          <a:extLst>
            <a:ext uri="{63B3BB69-23CF-44E3-9099-C40C66FF867C}">
              <a14:compatExt xmlns:a14="http://schemas.microsoft.com/office/drawing/2010/main" spid="_x0000_s3223"/>
            </a:ex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sp macro="" textlink="">
      <xdr:nvSpPr>
        <xdr:cNvPr id="3225" name="Object 153" hidden="1">
          <a:extLst>
            <a:ext uri="{63B3BB69-23CF-44E3-9099-C40C66FF867C}">
              <a14:compatExt xmlns:a14="http://schemas.microsoft.com/office/drawing/2010/main" spid="_x0000_s3225"/>
            </a:ex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sp macro="" textlink="">
      <xdr:nvSpPr>
        <xdr:cNvPr id="3281" name="Object 209" hidden="1">
          <a:extLst>
            <a:ext uri="{63B3BB69-23CF-44E3-9099-C40C66FF867C}">
              <a14:compatExt xmlns:a14="http://schemas.microsoft.com/office/drawing/2010/main" spid="_x0000_s3281"/>
            </a:ex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18</xdr:col>
      <xdr:colOff>9525</xdr:colOff>
      <xdr:row>1010</xdr:row>
      <xdr:rowOff>85725</xdr:rowOff>
    </xdr:from>
    <xdr:to>
      <xdr:col>20</xdr:col>
      <xdr:colOff>238125</xdr:colOff>
      <xdr:row>1013</xdr:row>
      <xdr:rowOff>19050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3639500"/>
          <a:ext cx="981075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1024</xdr:row>
      <xdr:rowOff>133350</xdr:rowOff>
    </xdr:from>
    <xdr:to>
      <xdr:col>25</xdr:col>
      <xdr:colOff>381000</xdr:colOff>
      <xdr:row>1026</xdr:row>
      <xdr:rowOff>66675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954075"/>
          <a:ext cx="24288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1006</xdr:row>
      <xdr:rowOff>19050</xdr:rowOff>
    </xdr:from>
    <xdr:to>
      <xdr:col>24</xdr:col>
      <xdr:colOff>123825</xdr:colOff>
      <xdr:row>1007</xdr:row>
      <xdr:rowOff>85725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2925125"/>
          <a:ext cx="32194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1017</xdr:row>
      <xdr:rowOff>142875</xdr:rowOff>
    </xdr:from>
    <xdr:to>
      <xdr:col>10</xdr:col>
      <xdr:colOff>485775</xdr:colOff>
      <xdr:row>1019</xdr:row>
      <xdr:rowOff>114300</xdr:rowOff>
    </xdr:to>
    <xdr:pic>
      <xdr:nvPicPr>
        <xdr:cNvPr id="5" name="Picture 4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830125"/>
          <a:ext cx="1952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1014</xdr:row>
      <xdr:rowOff>142875</xdr:rowOff>
    </xdr:from>
    <xdr:to>
      <xdr:col>11</xdr:col>
      <xdr:colOff>219075</xdr:colOff>
      <xdr:row>1016</xdr:row>
      <xdr:rowOff>57150</xdr:rowOff>
    </xdr:to>
    <xdr:pic>
      <xdr:nvPicPr>
        <xdr:cNvPr id="6" name="Picture 4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344350"/>
          <a:ext cx="21907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1016</xdr:row>
      <xdr:rowOff>66675</xdr:rowOff>
    </xdr:from>
    <xdr:to>
      <xdr:col>11</xdr:col>
      <xdr:colOff>200025</xdr:colOff>
      <xdr:row>1017</xdr:row>
      <xdr:rowOff>133350</xdr:rowOff>
    </xdr:to>
    <xdr:pic>
      <xdr:nvPicPr>
        <xdr:cNvPr id="7" name="Picture 4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64592000"/>
          <a:ext cx="21717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1022</xdr:row>
      <xdr:rowOff>57150</xdr:rowOff>
    </xdr:from>
    <xdr:to>
      <xdr:col>17</xdr:col>
      <xdr:colOff>228600</xdr:colOff>
      <xdr:row>1024</xdr:row>
      <xdr:rowOff>142875</xdr:rowOff>
    </xdr:to>
    <xdr:pic>
      <xdr:nvPicPr>
        <xdr:cNvPr id="8" name="Picture 4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554025"/>
          <a:ext cx="298132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1008</xdr:row>
      <xdr:rowOff>0</xdr:rowOff>
    </xdr:from>
    <xdr:to>
      <xdr:col>11</xdr:col>
      <xdr:colOff>200025</xdr:colOff>
      <xdr:row>1010</xdr:row>
      <xdr:rowOff>76200</xdr:rowOff>
    </xdr:to>
    <xdr:pic>
      <xdr:nvPicPr>
        <xdr:cNvPr id="9" name="Picture 4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229925"/>
          <a:ext cx="36480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1010</xdr:row>
      <xdr:rowOff>85725</xdr:rowOff>
    </xdr:from>
    <xdr:to>
      <xdr:col>12</xdr:col>
      <xdr:colOff>200025</xdr:colOff>
      <xdr:row>1013</xdr:row>
      <xdr:rowOff>0</xdr:rowOff>
    </xdr:to>
    <xdr:pic>
      <xdr:nvPicPr>
        <xdr:cNvPr id="10" name="Picture 4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3639500"/>
          <a:ext cx="4152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1006</xdr:row>
      <xdr:rowOff>85725</xdr:rowOff>
    </xdr:from>
    <xdr:to>
      <xdr:col>3</xdr:col>
      <xdr:colOff>447675</xdr:colOff>
      <xdr:row>1007</xdr:row>
      <xdr:rowOff>142875</xdr:rowOff>
    </xdr:to>
    <xdr:pic>
      <xdr:nvPicPr>
        <xdr:cNvPr id="11" name="Picture 5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991800"/>
          <a:ext cx="9334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1024</xdr:row>
      <xdr:rowOff>142875</xdr:rowOff>
    </xdr:from>
    <xdr:to>
      <xdr:col>16</xdr:col>
      <xdr:colOff>0</xdr:colOff>
      <xdr:row>1026</xdr:row>
      <xdr:rowOff>123825</xdr:rowOff>
    </xdr:to>
    <xdr:pic>
      <xdr:nvPicPr>
        <xdr:cNvPr id="12" name="Picture 5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963600"/>
          <a:ext cx="21812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1013</xdr:row>
      <xdr:rowOff>28575</xdr:rowOff>
    </xdr:from>
    <xdr:to>
      <xdr:col>21</xdr:col>
      <xdr:colOff>19050</xdr:colOff>
      <xdr:row>1014</xdr:row>
      <xdr:rowOff>95250</xdr:rowOff>
    </xdr:to>
    <xdr:pic>
      <xdr:nvPicPr>
        <xdr:cNvPr id="13" name="Picture 5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068125"/>
          <a:ext cx="13430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9525</xdr:colOff>
      <xdr:row>1005</xdr:row>
      <xdr:rowOff>9525</xdr:rowOff>
    </xdr:from>
    <xdr:to>
      <xdr:col>10</xdr:col>
      <xdr:colOff>333375</xdr:colOff>
      <xdr:row>1006</xdr:row>
      <xdr:rowOff>76200</xdr:rowOff>
    </xdr:to>
    <xdr:pic>
      <xdr:nvPicPr>
        <xdr:cNvPr id="14" name="Picture 55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62753675"/>
          <a:ext cx="42386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1013</xdr:row>
      <xdr:rowOff>9525</xdr:rowOff>
    </xdr:from>
    <xdr:to>
      <xdr:col>8</xdr:col>
      <xdr:colOff>161925</xdr:colOff>
      <xdr:row>1014</xdr:row>
      <xdr:rowOff>142875</xdr:rowOff>
    </xdr:to>
    <xdr:pic>
      <xdr:nvPicPr>
        <xdr:cNvPr id="15" name="Picture 57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4049075"/>
          <a:ext cx="21240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20</xdr:col>
      <xdr:colOff>9525</xdr:colOff>
      <xdr:row>1018</xdr:row>
      <xdr:rowOff>47625</xdr:rowOff>
    </xdr:from>
    <xdr:to>
      <xdr:col>24</xdr:col>
      <xdr:colOff>904875</xdr:colOff>
      <xdr:row>1019</xdr:row>
      <xdr:rowOff>114300</xdr:rowOff>
    </xdr:to>
    <xdr:pic>
      <xdr:nvPicPr>
        <xdr:cNvPr id="16" name="Picture 5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64896800"/>
          <a:ext cx="249555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1019</xdr:row>
      <xdr:rowOff>123825</xdr:rowOff>
    </xdr:from>
    <xdr:to>
      <xdr:col>20</xdr:col>
      <xdr:colOff>485775</xdr:colOff>
      <xdr:row>1022</xdr:row>
      <xdr:rowOff>47625</xdr:rowOff>
    </xdr:to>
    <xdr:pic>
      <xdr:nvPicPr>
        <xdr:cNvPr id="17" name="Picture 6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165134925"/>
          <a:ext cx="43719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1018</xdr:row>
      <xdr:rowOff>47625</xdr:rowOff>
    </xdr:from>
    <xdr:to>
      <xdr:col>19</xdr:col>
      <xdr:colOff>152400</xdr:colOff>
      <xdr:row>1019</xdr:row>
      <xdr:rowOff>114300</xdr:rowOff>
    </xdr:to>
    <xdr:pic>
      <xdr:nvPicPr>
        <xdr:cNvPr id="18" name="Picture 63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164896800"/>
          <a:ext cx="26289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1007</xdr:row>
      <xdr:rowOff>104775</xdr:rowOff>
    </xdr:from>
    <xdr:to>
      <xdr:col>37</xdr:col>
      <xdr:colOff>238125</xdr:colOff>
      <xdr:row>1010</xdr:row>
      <xdr:rowOff>66675</xdr:rowOff>
    </xdr:to>
    <xdr:pic>
      <xdr:nvPicPr>
        <xdr:cNvPr id="19" name="Picture 6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172775"/>
          <a:ext cx="327660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9525</xdr:colOff>
      <xdr:row>1010</xdr:row>
      <xdr:rowOff>76200</xdr:rowOff>
    </xdr:from>
    <xdr:to>
      <xdr:col>35</xdr:col>
      <xdr:colOff>600075</xdr:colOff>
      <xdr:row>1013</xdr:row>
      <xdr:rowOff>38100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0325" y="163629975"/>
          <a:ext cx="21145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1035</xdr:row>
      <xdr:rowOff>19050</xdr:rowOff>
    </xdr:from>
    <xdr:to>
      <xdr:col>11</xdr:col>
      <xdr:colOff>466725</xdr:colOff>
      <xdr:row>1038</xdr:row>
      <xdr:rowOff>19050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7620950"/>
          <a:ext cx="39147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1040</xdr:row>
      <xdr:rowOff>19050</xdr:rowOff>
    </xdr:from>
    <xdr:to>
      <xdr:col>12</xdr:col>
      <xdr:colOff>28575</xdr:colOff>
      <xdr:row>1043</xdr:row>
      <xdr:rowOff>19050</xdr:rowOff>
    </xdr:to>
    <xdr:pic>
      <xdr:nvPicPr>
        <xdr:cNvPr id="22" name="Picture 86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8430575"/>
          <a:ext cx="39814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18</xdr:col>
      <xdr:colOff>9525</xdr:colOff>
      <xdr:row>1014</xdr:row>
      <xdr:rowOff>104775</xdr:rowOff>
    </xdr:from>
    <xdr:to>
      <xdr:col>20</xdr:col>
      <xdr:colOff>276225</xdr:colOff>
      <xdr:row>1016</xdr:row>
      <xdr:rowOff>9525</xdr:rowOff>
    </xdr:to>
    <xdr:pic>
      <xdr:nvPicPr>
        <xdr:cNvPr id="23" name="Picture 8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64306250"/>
          <a:ext cx="10191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16</xdr:col>
      <xdr:colOff>209550</xdr:colOff>
      <xdr:row>1007</xdr:row>
      <xdr:rowOff>95250</xdr:rowOff>
    </xdr:from>
    <xdr:to>
      <xdr:col>32</xdr:col>
      <xdr:colOff>142875</xdr:colOff>
      <xdr:row>1010</xdr:row>
      <xdr:rowOff>76200</xdr:rowOff>
    </xdr:to>
    <xdr:pic>
      <xdr:nvPicPr>
        <xdr:cNvPr id="24" name="Picture 9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63163250"/>
          <a:ext cx="6791325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1055</xdr:row>
      <xdr:rowOff>28575</xdr:rowOff>
    </xdr:from>
    <xdr:to>
      <xdr:col>12</xdr:col>
      <xdr:colOff>276225</xdr:colOff>
      <xdr:row>1058</xdr:row>
      <xdr:rowOff>47625</xdr:rowOff>
    </xdr:to>
    <xdr:pic>
      <xdr:nvPicPr>
        <xdr:cNvPr id="25" name="Picture 9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868975"/>
          <a:ext cx="42291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1060</xdr:row>
      <xdr:rowOff>28575</xdr:rowOff>
    </xdr:from>
    <xdr:to>
      <xdr:col>15</xdr:col>
      <xdr:colOff>47625</xdr:colOff>
      <xdr:row>1063</xdr:row>
      <xdr:rowOff>47625</xdr:rowOff>
    </xdr:to>
    <xdr:pic>
      <xdr:nvPicPr>
        <xdr:cNvPr id="26" name="Picture 9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1678600"/>
          <a:ext cx="49053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1065</xdr:row>
      <xdr:rowOff>28575</xdr:rowOff>
    </xdr:from>
    <xdr:to>
      <xdr:col>16</xdr:col>
      <xdr:colOff>561975</xdr:colOff>
      <xdr:row>1068</xdr:row>
      <xdr:rowOff>47625</xdr:rowOff>
    </xdr:to>
    <xdr:pic>
      <xdr:nvPicPr>
        <xdr:cNvPr id="27" name="Picture 9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2488225"/>
          <a:ext cx="56864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1045</xdr:row>
      <xdr:rowOff>28575</xdr:rowOff>
    </xdr:from>
    <xdr:to>
      <xdr:col>16</xdr:col>
      <xdr:colOff>85725</xdr:colOff>
      <xdr:row>1048</xdr:row>
      <xdr:rowOff>28575</xdr:rowOff>
    </xdr:to>
    <xdr:pic>
      <xdr:nvPicPr>
        <xdr:cNvPr id="28" name="Picture 10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69249725"/>
          <a:ext cx="52101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1050</xdr:row>
      <xdr:rowOff>28575</xdr:rowOff>
    </xdr:from>
    <xdr:to>
      <xdr:col>16</xdr:col>
      <xdr:colOff>323850</xdr:colOff>
      <xdr:row>1053</xdr:row>
      <xdr:rowOff>47625</xdr:rowOff>
    </xdr:to>
    <xdr:pic>
      <xdr:nvPicPr>
        <xdr:cNvPr id="29" name="Picture 10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0059350"/>
          <a:ext cx="5448300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1070</xdr:row>
      <xdr:rowOff>28575</xdr:rowOff>
    </xdr:from>
    <xdr:to>
      <xdr:col>12</xdr:col>
      <xdr:colOff>342900</xdr:colOff>
      <xdr:row>1073</xdr:row>
      <xdr:rowOff>47625</xdr:rowOff>
    </xdr:to>
    <xdr:pic>
      <xdr:nvPicPr>
        <xdr:cNvPr id="30" name="Picture 106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73297850"/>
          <a:ext cx="429577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1053</xdr:row>
      <xdr:rowOff>28575</xdr:rowOff>
    </xdr:from>
    <xdr:to>
      <xdr:col>32</xdr:col>
      <xdr:colOff>352425</xdr:colOff>
      <xdr:row>1056</xdr:row>
      <xdr:rowOff>28575</xdr:rowOff>
    </xdr:to>
    <xdr:pic>
      <xdr:nvPicPr>
        <xdr:cNvPr id="31" name="Picture 11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70545125"/>
          <a:ext cx="5905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21</xdr:col>
      <xdr:colOff>19050</xdr:colOff>
      <xdr:row>1022</xdr:row>
      <xdr:rowOff>47625</xdr:rowOff>
    </xdr:from>
    <xdr:to>
      <xdr:col>32</xdr:col>
      <xdr:colOff>219075</xdr:colOff>
      <xdr:row>1024</xdr:row>
      <xdr:rowOff>114300</xdr:rowOff>
    </xdr:to>
    <xdr:pic>
      <xdr:nvPicPr>
        <xdr:cNvPr id="32" name="Picture 120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65544500"/>
          <a:ext cx="477202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1017</xdr:row>
      <xdr:rowOff>19050</xdr:rowOff>
    </xdr:from>
    <xdr:to>
      <xdr:col>36</xdr:col>
      <xdr:colOff>142875</xdr:colOff>
      <xdr:row>1020</xdr:row>
      <xdr:rowOff>19050</xdr:rowOff>
    </xdr:to>
    <xdr:pic>
      <xdr:nvPicPr>
        <xdr:cNvPr id="33" name="Picture 14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706300"/>
          <a:ext cx="24288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1014</xdr:row>
      <xdr:rowOff>0</xdr:rowOff>
    </xdr:from>
    <xdr:to>
      <xdr:col>36</xdr:col>
      <xdr:colOff>581025</xdr:colOff>
      <xdr:row>1017</xdr:row>
      <xdr:rowOff>0</xdr:rowOff>
    </xdr:to>
    <xdr:pic>
      <xdr:nvPicPr>
        <xdr:cNvPr id="34" name="Picture 150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4201475"/>
          <a:ext cx="28670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1020</xdr:row>
      <xdr:rowOff>38100</xdr:rowOff>
    </xdr:from>
    <xdr:to>
      <xdr:col>35</xdr:col>
      <xdr:colOff>114300</xdr:colOff>
      <xdr:row>1023</xdr:row>
      <xdr:rowOff>38100</xdr:rowOff>
    </xdr:to>
    <xdr:pic>
      <xdr:nvPicPr>
        <xdr:cNvPr id="35" name="Picture 151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211125"/>
          <a:ext cx="16383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1023</xdr:row>
      <xdr:rowOff>57150</xdr:rowOff>
    </xdr:from>
    <xdr:to>
      <xdr:col>36</xdr:col>
      <xdr:colOff>47625</xdr:colOff>
      <xdr:row>1026</xdr:row>
      <xdr:rowOff>57150</xdr:rowOff>
    </xdr:to>
    <xdr:pic>
      <xdr:nvPicPr>
        <xdr:cNvPr id="36" name="Picture 153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65715950"/>
          <a:ext cx="233362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19</xdr:col>
      <xdr:colOff>0</xdr:colOff>
      <xdr:row>1048</xdr:row>
      <xdr:rowOff>28575</xdr:rowOff>
    </xdr:from>
    <xdr:to>
      <xdr:col>34</xdr:col>
      <xdr:colOff>295275</xdr:colOff>
      <xdr:row>1051</xdr:row>
      <xdr:rowOff>76200</xdr:rowOff>
    </xdr:to>
    <xdr:pic>
      <xdr:nvPicPr>
        <xdr:cNvPr id="37" name="Picture 20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9735500"/>
          <a:ext cx="73723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2604352" name="Picture 8" descr="logoplasci">
          <a:extLst>
            <a:ext uri="{FF2B5EF4-FFF2-40B4-BE49-F238E27FC236}">
              <a16:creationId xmlns:a16="http://schemas.microsoft.com/office/drawing/2014/main" id="{00000000-0008-0000-0500-000040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165100"/>
          <a:ext cx="984250" cy="63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450850</xdr:colOff>
      <xdr:row>0</xdr:row>
      <xdr:rowOff>120650</xdr:rowOff>
    </xdr:from>
    <xdr:to>
      <xdr:col>12</xdr:col>
      <xdr:colOff>450850</xdr:colOff>
      <xdr:row>17</xdr:row>
      <xdr:rowOff>25400</xdr:rowOff>
    </xdr:to>
    <xdr:graphicFrame macro="">
      <xdr:nvGraphicFramePr>
        <xdr:cNvPr id="2604353" name="Graphique 2">
          <a:extLst>
            <a:ext uri="{FF2B5EF4-FFF2-40B4-BE49-F238E27FC236}">
              <a16:creationId xmlns:a16="http://schemas.microsoft.com/office/drawing/2014/main" id="{00000000-0008-0000-0500-000041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12</xdr:col>
      <xdr:colOff>450850</xdr:colOff>
      <xdr:row>34</xdr:row>
      <xdr:rowOff>19050</xdr:rowOff>
    </xdr:to>
    <xdr:graphicFrame macro="">
      <xdr:nvGraphicFramePr>
        <xdr:cNvPr id="2604354" name="Graphique 2">
          <a:extLst>
            <a:ext uri="{FF2B5EF4-FFF2-40B4-BE49-F238E27FC236}">
              <a16:creationId xmlns:a16="http://schemas.microsoft.com/office/drawing/2014/main" id="{00000000-0008-0000-0500-000042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450850</xdr:colOff>
      <xdr:row>34</xdr:row>
      <xdr:rowOff>19050</xdr:rowOff>
    </xdr:to>
    <xdr:graphicFrame macro="">
      <xdr:nvGraphicFramePr>
        <xdr:cNvPr id="2604355" name="Graphique 2">
          <a:extLst>
            <a:ext uri="{FF2B5EF4-FFF2-40B4-BE49-F238E27FC236}">
              <a16:creationId xmlns:a16="http://schemas.microsoft.com/office/drawing/2014/main" id="{00000000-0008-0000-0500-000043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sp macro="" textlink="">
      <xdr:nvSpPr>
        <xdr:cNvPr id="2604101" name="Object 69" hidden="1">
          <a:extLst>
            <a:ext uri="{63B3BB69-23CF-44E3-9099-C40C66FF867C}">
              <a14:compatExt xmlns:a14="http://schemas.microsoft.com/office/drawing/2010/main" spid="_x0000_s2604101"/>
            </a:ext>
            <a:ext uri="{FF2B5EF4-FFF2-40B4-BE49-F238E27FC236}">
              <a16:creationId xmlns:a16="http://schemas.microsoft.com/office/drawing/2014/main" id="{00000000-0008-0000-0500-000045BC27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638175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8</xdr:col>
      <xdr:colOff>323850</xdr:colOff>
      <xdr:row>68</xdr:row>
      <xdr:rowOff>19050</xdr:rowOff>
    </xdr:from>
    <xdr:to>
      <xdr:col>12</xdr:col>
      <xdr:colOff>752475</xdr:colOff>
      <xdr:row>85</xdr:row>
      <xdr:rowOff>9525</xdr:rowOff>
    </xdr:to>
    <xdr:pic>
      <xdr:nvPicPr>
        <xdr:cNvPr id="2" name="Picture 6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4575" y="11115675"/>
          <a:ext cx="3476625" cy="2743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33</xdr:row>
      <xdr:rowOff>25400</xdr:rowOff>
    </xdr:from>
    <xdr:to>
      <xdr:col>2</xdr:col>
      <xdr:colOff>12700</xdr:colOff>
      <xdr:row>44</xdr:row>
      <xdr:rowOff>19050</xdr:rowOff>
    </xdr:to>
    <xdr:pic>
      <xdr:nvPicPr>
        <xdr:cNvPr id="5938" name="Image 1">
          <a:extLst>
            <a:ext uri="{FF2B5EF4-FFF2-40B4-BE49-F238E27FC236}">
              <a16:creationId xmlns:a16="http://schemas.microsoft.com/office/drawing/2014/main" id="{00000000-0008-0000-0600-000032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50" y="5295900"/>
          <a:ext cx="1231900" cy="1739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1123950</xdr:colOff>
      <xdr:row>53</xdr:row>
      <xdr:rowOff>44450</xdr:rowOff>
    </xdr:from>
    <xdr:to>
      <xdr:col>10</xdr:col>
      <xdr:colOff>609600</xdr:colOff>
      <xdr:row>81</xdr:row>
      <xdr:rowOff>25400</xdr:rowOff>
    </xdr:to>
    <xdr:pic>
      <xdr:nvPicPr>
        <xdr:cNvPr id="5939" name="Image 2">
          <a:extLst>
            <a:ext uri="{FF2B5EF4-FFF2-40B4-BE49-F238E27FC236}">
              <a16:creationId xmlns:a16="http://schemas.microsoft.com/office/drawing/2014/main" id="{00000000-0008-0000-0600-000033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6350" y="8331200"/>
          <a:ext cx="7099300" cy="442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984250</xdr:colOff>
      <xdr:row>4</xdr:row>
      <xdr:rowOff>152400</xdr:rowOff>
    </xdr:to>
    <xdr:pic>
      <xdr:nvPicPr>
        <xdr:cNvPr id="5940" name="Picture 8" descr="logoplasci">
          <a:extLst>
            <a:ext uri="{FF2B5EF4-FFF2-40B4-BE49-F238E27FC236}">
              <a16:creationId xmlns:a16="http://schemas.microsoft.com/office/drawing/2014/main" id="{00000000-0008-0000-0600-000034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400" y="158750"/>
          <a:ext cx="9842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80</xdr:row>
      <xdr:rowOff>12700</xdr:rowOff>
    </xdr:from>
    <xdr:to>
      <xdr:col>8</xdr:col>
      <xdr:colOff>0</xdr:colOff>
      <xdr:row>102</xdr:row>
      <xdr:rowOff>107950</xdr:rowOff>
    </xdr:to>
    <xdr:grpSp>
      <xdr:nvGrpSpPr>
        <xdr:cNvPr id="5501606" name="Group 232">
          <a:extLst>
            <a:ext uri="{FF2B5EF4-FFF2-40B4-BE49-F238E27FC236}">
              <a16:creationId xmlns:a16="http://schemas.microsoft.com/office/drawing/2014/main" id="{00000000-0008-0000-0700-0000A6F25300}"/>
            </a:ext>
          </a:extLst>
        </xdr:cNvPr>
        <xdr:cNvGrpSpPr>
          <a:grpSpLocks/>
        </xdr:cNvGrpSpPr>
      </xdr:nvGrpSpPr>
      <xdr:grpSpPr bwMode="auto">
        <a:xfrm>
          <a:off x="4108450" y="13214350"/>
          <a:ext cx="2139950" cy="3752850"/>
          <a:chOff x="3421" y="5379"/>
          <a:chExt cx="2289" cy="5759"/>
        </a:xfrm>
      </xdr:grpSpPr>
      <xdr:grpSp>
        <xdr:nvGrpSpPr>
          <xdr:cNvPr id="5501710" name="Group 233">
            <a:extLst>
              <a:ext uri="{FF2B5EF4-FFF2-40B4-BE49-F238E27FC236}">
                <a16:creationId xmlns:a16="http://schemas.microsoft.com/office/drawing/2014/main" id="{00000000-0008-0000-0700-00000EF3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28" name="Arc 234">
              <a:extLst>
                <a:ext uri="{FF2B5EF4-FFF2-40B4-BE49-F238E27FC236}">
                  <a16:creationId xmlns:a16="http://schemas.microsoft.com/office/drawing/2014/main" id="{00000000-0008-0000-0700-00002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9" name="Group 235">
              <a:extLst>
                <a:ext uri="{FF2B5EF4-FFF2-40B4-BE49-F238E27FC236}">
                  <a16:creationId xmlns:a16="http://schemas.microsoft.com/office/drawing/2014/main" id="{00000000-0008-0000-0700-00002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30" name="Line 236">
                <a:extLst>
                  <a:ext uri="{FF2B5EF4-FFF2-40B4-BE49-F238E27FC236}">
                    <a16:creationId xmlns:a16="http://schemas.microsoft.com/office/drawing/2014/main" id="{00000000-0008-0000-0700-00002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1" name="Line 237">
                <a:extLst>
                  <a:ext uri="{FF2B5EF4-FFF2-40B4-BE49-F238E27FC236}">
                    <a16:creationId xmlns:a16="http://schemas.microsoft.com/office/drawing/2014/main" id="{00000000-0008-0000-0700-00002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2" name="Line 238">
                <a:extLst>
                  <a:ext uri="{FF2B5EF4-FFF2-40B4-BE49-F238E27FC236}">
                    <a16:creationId xmlns:a16="http://schemas.microsoft.com/office/drawing/2014/main" id="{00000000-0008-0000-0700-00002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3" name="Line 239">
                <a:extLst>
                  <a:ext uri="{FF2B5EF4-FFF2-40B4-BE49-F238E27FC236}">
                    <a16:creationId xmlns:a16="http://schemas.microsoft.com/office/drawing/2014/main" id="{00000000-0008-0000-0700-00002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34" name="Line 240">
                <a:extLst>
                  <a:ext uri="{FF2B5EF4-FFF2-40B4-BE49-F238E27FC236}">
                    <a16:creationId xmlns:a16="http://schemas.microsoft.com/office/drawing/2014/main" id="{00000000-0008-0000-0700-00002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711" name="Group 241">
            <a:extLst>
              <a:ext uri="{FF2B5EF4-FFF2-40B4-BE49-F238E27FC236}">
                <a16:creationId xmlns:a16="http://schemas.microsoft.com/office/drawing/2014/main" id="{00000000-0008-0000-0700-00000FF3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721" name="Arc 242">
              <a:extLst>
                <a:ext uri="{FF2B5EF4-FFF2-40B4-BE49-F238E27FC236}">
                  <a16:creationId xmlns:a16="http://schemas.microsoft.com/office/drawing/2014/main" id="{00000000-0008-0000-0700-000019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22" name="Group 243">
              <a:extLst>
                <a:ext uri="{FF2B5EF4-FFF2-40B4-BE49-F238E27FC236}">
                  <a16:creationId xmlns:a16="http://schemas.microsoft.com/office/drawing/2014/main" id="{00000000-0008-0000-0700-00001A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23" name="Line 244">
                <a:extLst>
                  <a:ext uri="{FF2B5EF4-FFF2-40B4-BE49-F238E27FC236}">
                    <a16:creationId xmlns:a16="http://schemas.microsoft.com/office/drawing/2014/main" id="{00000000-0008-0000-0700-00001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4" name="Line 245">
                <a:extLst>
                  <a:ext uri="{FF2B5EF4-FFF2-40B4-BE49-F238E27FC236}">
                    <a16:creationId xmlns:a16="http://schemas.microsoft.com/office/drawing/2014/main" id="{00000000-0008-0000-0700-00001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5" name="Line 246">
                <a:extLst>
                  <a:ext uri="{FF2B5EF4-FFF2-40B4-BE49-F238E27FC236}">
                    <a16:creationId xmlns:a16="http://schemas.microsoft.com/office/drawing/2014/main" id="{00000000-0008-0000-0700-00001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6" name="Line 247">
                <a:extLst>
                  <a:ext uri="{FF2B5EF4-FFF2-40B4-BE49-F238E27FC236}">
                    <a16:creationId xmlns:a16="http://schemas.microsoft.com/office/drawing/2014/main" id="{00000000-0008-0000-0700-00001E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27" name="Line 248">
                <a:extLst>
                  <a:ext uri="{FF2B5EF4-FFF2-40B4-BE49-F238E27FC236}">
                    <a16:creationId xmlns:a16="http://schemas.microsoft.com/office/drawing/2014/main" id="{00000000-0008-0000-0700-00001F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712" name="Line 249">
            <a:extLst>
              <a:ext uri="{FF2B5EF4-FFF2-40B4-BE49-F238E27FC236}">
                <a16:creationId xmlns:a16="http://schemas.microsoft.com/office/drawing/2014/main" id="{00000000-0008-0000-0700-000010F3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3" name="Line 250">
            <a:extLst>
              <a:ext uri="{FF2B5EF4-FFF2-40B4-BE49-F238E27FC236}">
                <a16:creationId xmlns:a16="http://schemas.microsoft.com/office/drawing/2014/main" id="{00000000-0008-0000-0700-000011F3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4" name="Line 251">
            <a:extLst>
              <a:ext uri="{FF2B5EF4-FFF2-40B4-BE49-F238E27FC236}">
                <a16:creationId xmlns:a16="http://schemas.microsoft.com/office/drawing/2014/main" id="{00000000-0008-0000-0700-000012F3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5" name="Line 252">
            <a:extLst>
              <a:ext uri="{FF2B5EF4-FFF2-40B4-BE49-F238E27FC236}">
                <a16:creationId xmlns:a16="http://schemas.microsoft.com/office/drawing/2014/main" id="{00000000-0008-0000-0700-000013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6" name="Line 253">
            <a:extLst>
              <a:ext uri="{FF2B5EF4-FFF2-40B4-BE49-F238E27FC236}">
                <a16:creationId xmlns:a16="http://schemas.microsoft.com/office/drawing/2014/main" id="{00000000-0008-0000-0700-000014F3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7" name="Line 254">
            <a:extLst>
              <a:ext uri="{FF2B5EF4-FFF2-40B4-BE49-F238E27FC236}">
                <a16:creationId xmlns:a16="http://schemas.microsoft.com/office/drawing/2014/main" id="{00000000-0008-0000-0700-000015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8" name="Line 255">
            <a:extLst>
              <a:ext uri="{FF2B5EF4-FFF2-40B4-BE49-F238E27FC236}">
                <a16:creationId xmlns:a16="http://schemas.microsoft.com/office/drawing/2014/main" id="{00000000-0008-0000-0700-000016F3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19" name="Line 256">
            <a:extLst>
              <a:ext uri="{FF2B5EF4-FFF2-40B4-BE49-F238E27FC236}">
                <a16:creationId xmlns:a16="http://schemas.microsoft.com/office/drawing/2014/main" id="{00000000-0008-0000-0700-000017F3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720" name="Line 257">
            <a:extLst>
              <a:ext uri="{FF2B5EF4-FFF2-40B4-BE49-F238E27FC236}">
                <a16:creationId xmlns:a16="http://schemas.microsoft.com/office/drawing/2014/main" id="{00000000-0008-0000-0700-000018F3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825500</xdr:colOff>
      <xdr:row>84</xdr:row>
      <xdr:rowOff>101600</xdr:rowOff>
    </xdr:from>
    <xdr:to>
      <xdr:col>6</xdr:col>
      <xdr:colOff>1543050</xdr:colOff>
      <xdr:row>84</xdr:row>
      <xdr:rowOff>101600</xdr:rowOff>
    </xdr:to>
    <xdr:sp macro="" textlink="">
      <xdr:nvSpPr>
        <xdr:cNvPr id="5501607" name="Line 268">
          <a:extLst>
            <a:ext uri="{FF2B5EF4-FFF2-40B4-BE49-F238E27FC236}">
              <a16:creationId xmlns:a16="http://schemas.microsoft.com/office/drawing/2014/main" id="{00000000-0008-0000-0700-0000A7F25300}"/>
            </a:ext>
          </a:extLst>
        </xdr:cNvPr>
        <xdr:cNvSpPr>
          <a:spLocks noChangeShapeType="1"/>
        </xdr:cNvSpPr>
      </xdr:nvSpPr>
      <xdr:spPr bwMode="auto">
        <a:xfrm flipV="1">
          <a:off x="5105400" y="14128750"/>
          <a:ext cx="7175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8</xdr:col>
      <xdr:colOff>654050</xdr:colOff>
      <xdr:row>80</xdr:row>
      <xdr:rowOff>0</xdr:rowOff>
    </xdr:to>
    <xdr:sp macro="" textlink="">
      <xdr:nvSpPr>
        <xdr:cNvPr id="5501608" name="Line 269">
          <a:extLst>
            <a:ext uri="{FF2B5EF4-FFF2-40B4-BE49-F238E27FC236}">
              <a16:creationId xmlns:a16="http://schemas.microsoft.com/office/drawing/2014/main" id="{00000000-0008-0000-0700-0000A8F25300}"/>
            </a:ext>
          </a:extLst>
        </xdr:cNvPr>
        <xdr:cNvSpPr>
          <a:spLocks noChangeShapeType="1"/>
        </xdr:cNvSpPr>
      </xdr:nvSpPr>
      <xdr:spPr bwMode="auto">
        <a:xfrm flipV="1">
          <a:off x="4432300" y="13354050"/>
          <a:ext cx="2647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228600</xdr:colOff>
      <xdr:row>80</xdr:row>
      <xdr:rowOff>12700</xdr:rowOff>
    </xdr:from>
    <xdr:to>
      <xdr:col>8</xdr:col>
      <xdr:colOff>228600</xdr:colOff>
      <xdr:row>93</xdr:row>
      <xdr:rowOff>82550</xdr:rowOff>
    </xdr:to>
    <xdr:sp macro="" textlink="">
      <xdr:nvSpPr>
        <xdr:cNvPr id="5501609" name="Line 270">
          <a:extLst>
            <a:ext uri="{FF2B5EF4-FFF2-40B4-BE49-F238E27FC236}">
              <a16:creationId xmlns:a16="http://schemas.microsoft.com/office/drawing/2014/main" id="{00000000-0008-0000-0700-0000A9F25300}"/>
            </a:ext>
          </a:extLst>
        </xdr:cNvPr>
        <xdr:cNvSpPr>
          <a:spLocks noChangeShapeType="1"/>
        </xdr:cNvSpPr>
      </xdr:nvSpPr>
      <xdr:spPr bwMode="auto">
        <a:xfrm>
          <a:off x="6838950" y="13366750"/>
          <a:ext cx="0" cy="2209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139700</xdr:colOff>
      <xdr:row>83</xdr:row>
      <xdr:rowOff>50800</xdr:rowOff>
    </xdr:from>
    <xdr:to>
      <xdr:col>6</xdr:col>
      <xdr:colOff>838200</xdr:colOff>
      <xdr:row>83</xdr:row>
      <xdr:rowOff>50800</xdr:rowOff>
    </xdr:to>
    <xdr:sp macro="" textlink="">
      <xdr:nvSpPr>
        <xdr:cNvPr id="5501610" name="Line 271">
          <a:extLst>
            <a:ext uri="{FF2B5EF4-FFF2-40B4-BE49-F238E27FC236}">
              <a16:creationId xmlns:a16="http://schemas.microsoft.com/office/drawing/2014/main" id="{00000000-0008-0000-0700-0000AAF25300}"/>
            </a:ext>
          </a:extLst>
        </xdr:cNvPr>
        <xdr:cNvSpPr>
          <a:spLocks noChangeShapeType="1"/>
        </xdr:cNvSpPr>
      </xdr:nvSpPr>
      <xdr:spPr bwMode="auto">
        <a:xfrm>
          <a:off x="4419600" y="13912850"/>
          <a:ext cx="698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152400</xdr:colOff>
      <xdr:row>80</xdr:row>
      <xdr:rowOff>0</xdr:rowOff>
    </xdr:from>
    <xdr:to>
      <xdr:col>6</xdr:col>
      <xdr:colOff>152400</xdr:colOff>
      <xdr:row>83</xdr:row>
      <xdr:rowOff>50800</xdr:rowOff>
    </xdr:to>
    <xdr:sp macro="" textlink="">
      <xdr:nvSpPr>
        <xdr:cNvPr id="5501611" name="Line 272">
          <a:extLst>
            <a:ext uri="{FF2B5EF4-FFF2-40B4-BE49-F238E27FC236}">
              <a16:creationId xmlns:a16="http://schemas.microsoft.com/office/drawing/2014/main" id="{00000000-0008-0000-0700-0000ABF25300}"/>
            </a:ext>
          </a:extLst>
        </xdr:cNvPr>
        <xdr:cNvSpPr>
          <a:spLocks noChangeShapeType="1"/>
        </xdr:cNvSpPr>
      </xdr:nvSpPr>
      <xdr:spPr bwMode="auto">
        <a:xfrm>
          <a:off x="4432300" y="13354050"/>
          <a:ext cx="0" cy="558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7</xdr:col>
      <xdr:colOff>787400</xdr:colOff>
      <xdr:row>102</xdr:row>
      <xdr:rowOff>95250</xdr:rowOff>
    </xdr:from>
    <xdr:to>
      <xdr:col>8</xdr:col>
      <xdr:colOff>552450</xdr:colOff>
      <xdr:row>102</xdr:row>
      <xdr:rowOff>95250</xdr:rowOff>
    </xdr:to>
    <xdr:sp macro="" textlink="">
      <xdr:nvSpPr>
        <xdr:cNvPr id="5501612" name="Line 277">
          <a:extLst>
            <a:ext uri="{FF2B5EF4-FFF2-40B4-BE49-F238E27FC236}">
              <a16:creationId xmlns:a16="http://schemas.microsoft.com/office/drawing/2014/main" id="{00000000-0008-0000-0700-0000ACF25300}"/>
            </a:ext>
          </a:extLst>
        </xdr:cNvPr>
        <xdr:cNvSpPr>
          <a:spLocks noChangeShapeType="1"/>
        </xdr:cNvSpPr>
      </xdr:nvSpPr>
      <xdr:spPr bwMode="auto">
        <a:xfrm>
          <a:off x="6610350" y="17068800"/>
          <a:ext cx="469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12700</xdr:colOff>
      <xdr:row>98</xdr:row>
      <xdr:rowOff>133350</xdr:rowOff>
    </xdr:from>
    <xdr:to>
      <xdr:col>8</xdr:col>
      <xdr:colOff>469900</xdr:colOff>
      <xdr:row>98</xdr:row>
      <xdr:rowOff>133350</xdr:rowOff>
    </xdr:to>
    <xdr:sp macro="" textlink="">
      <xdr:nvSpPr>
        <xdr:cNvPr id="5501613" name="Line 278">
          <a:extLst>
            <a:ext uri="{FF2B5EF4-FFF2-40B4-BE49-F238E27FC236}">
              <a16:creationId xmlns:a16="http://schemas.microsoft.com/office/drawing/2014/main" id="{00000000-0008-0000-0700-0000ADF25300}"/>
            </a:ext>
          </a:extLst>
        </xdr:cNvPr>
        <xdr:cNvSpPr>
          <a:spLocks noChangeShapeType="1"/>
        </xdr:cNvSpPr>
      </xdr:nvSpPr>
      <xdr:spPr bwMode="auto">
        <a:xfrm>
          <a:off x="6623050" y="16440150"/>
          <a:ext cx="457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8</xdr:col>
      <xdr:colOff>552450</xdr:colOff>
      <xdr:row>93</xdr:row>
      <xdr:rowOff>76200</xdr:rowOff>
    </xdr:to>
    <xdr:sp macro="" textlink="">
      <xdr:nvSpPr>
        <xdr:cNvPr id="5501614" name="Line 279">
          <a:extLst>
            <a:ext uri="{FF2B5EF4-FFF2-40B4-BE49-F238E27FC236}">
              <a16:creationId xmlns:a16="http://schemas.microsoft.com/office/drawing/2014/main" id="{00000000-0008-0000-0700-0000AEF25300}"/>
            </a:ext>
          </a:extLst>
        </xdr:cNvPr>
        <xdr:cNvSpPr>
          <a:spLocks noChangeShapeType="1"/>
        </xdr:cNvSpPr>
      </xdr:nvSpPr>
      <xdr:spPr bwMode="auto">
        <a:xfrm flipV="1">
          <a:off x="4756150" y="15570200"/>
          <a:ext cx="2324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99</xdr:row>
      <xdr:rowOff>152400</xdr:rowOff>
    </xdr:from>
    <xdr:to>
      <xdr:col>6</xdr:col>
      <xdr:colOff>1428750</xdr:colOff>
      <xdr:row>99</xdr:row>
      <xdr:rowOff>152400</xdr:rowOff>
    </xdr:to>
    <xdr:sp macro="" textlink="">
      <xdr:nvSpPr>
        <xdr:cNvPr id="5501615" name="Line 280">
          <a:extLst>
            <a:ext uri="{FF2B5EF4-FFF2-40B4-BE49-F238E27FC236}">
              <a16:creationId xmlns:a16="http://schemas.microsoft.com/office/drawing/2014/main" id="{00000000-0008-0000-0700-0000AFF25300}"/>
            </a:ext>
          </a:extLst>
        </xdr:cNvPr>
        <xdr:cNvSpPr>
          <a:spLocks noChangeShapeType="1"/>
        </xdr:cNvSpPr>
      </xdr:nvSpPr>
      <xdr:spPr bwMode="auto">
        <a:xfrm flipV="1">
          <a:off x="4756150" y="1661795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93</xdr:row>
      <xdr:rowOff>76200</xdr:rowOff>
    </xdr:from>
    <xdr:to>
      <xdr:col>6</xdr:col>
      <xdr:colOff>476250</xdr:colOff>
      <xdr:row>100</xdr:row>
      <xdr:rowOff>0</xdr:rowOff>
    </xdr:to>
    <xdr:sp macro="" textlink="">
      <xdr:nvSpPr>
        <xdr:cNvPr id="5501616" name="Line 281">
          <a:extLst>
            <a:ext uri="{FF2B5EF4-FFF2-40B4-BE49-F238E27FC236}">
              <a16:creationId xmlns:a16="http://schemas.microsoft.com/office/drawing/2014/main" id="{00000000-0008-0000-0700-0000B0F25300}"/>
            </a:ext>
          </a:extLst>
        </xdr:cNvPr>
        <xdr:cNvSpPr>
          <a:spLocks noChangeShapeType="1"/>
        </xdr:cNvSpPr>
      </xdr:nvSpPr>
      <xdr:spPr bwMode="auto">
        <a:xfrm>
          <a:off x="4756150" y="15570200"/>
          <a:ext cx="0" cy="10668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98</xdr:row>
      <xdr:rowOff>133350</xdr:rowOff>
    </xdr:from>
    <xdr:to>
      <xdr:col>8</xdr:col>
      <xdr:colOff>488950</xdr:colOff>
      <xdr:row>102</xdr:row>
      <xdr:rowOff>95250</xdr:rowOff>
    </xdr:to>
    <xdr:sp macro="" textlink="">
      <xdr:nvSpPr>
        <xdr:cNvPr id="5501617" name="Line 282">
          <a:extLst>
            <a:ext uri="{FF2B5EF4-FFF2-40B4-BE49-F238E27FC236}">
              <a16:creationId xmlns:a16="http://schemas.microsoft.com/office/drawing/2014/main" id="{00000000-0008-0000-0700-0000B1F25300}"/>
            </a:ext>
          </a:extLst>
        </xdr:cNvPr>
        <xdr:cNvSpPr>
          <a:spLocks noChangeShapeType="1"/>
        </xdr:cNvSpPr>
      </xdr:nvSpPr>
      <xdr:spPr bwMode="auto">
        <a:xfrm>
          <a:off x="7080250" y="16440150"/>
          <a:ext cx="0" cy="628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488950</xdr:colOff>
      <xdr:row>93</xdr:row>
      <xdr:rowOff>63500</xdr:rowOff>
    </xdr:from>
    <xdr:to>
      <xdr:col>8</xdr:col>
      <xdr:colOff>488950</xdr:colOff>
      <xdr:row>98</xdr:row>
      <xdr:rowOff>133350</xdr:rowOff>
    </xdr:to>
    <xdr:sp macro="" textlink="">
      <xdr:nvSpPr>
        <xdr:cNvPr id="5501618" name="Line 283">
          <a:extLst>
            <a:ext uri="{FF2B5EF4-FFF2-40B4-BE49-F238E27FC236}">
              <a16:creationId xmlns:a16="http://schemas.microsoft.com/office/drawing/2014/main" id="{00000000-0008-0000-0700-0000B2F25300}"/>
            </a:ext>
          </a:extLst>
        </xdr:cNvPr>
        <xdr:cNvSpPr>
          <a:spLocks noChangeShapeType="1"/>
        </xdr:cNvSpPr>
      </xdr:nvSpPr>
      <xdr:spPr bwMode="auto">
        <a:xfrm>
          <a:off x="7080250" y="15557500"/>
          <a:ext cx="0" cy="8826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8</xdr:col>
      <xdr:colOff>0</xdr:colOff>
      <xdr:row>102</xdr:row>
      <xdr:rowOff>95250</xdr:rowOff>
    </xdr:from>
    <xdr:to>
      <xdr:col>8</xdr:col>
      <xdr:colOff>0</xdr:colOff>
      <xdr:row>103</xdr:row>
      <xdr:rowOff>0</xdr:rowOff>
    </xdr:to>
    <xdr:sp macro="" textlink="">
      <xdr:nvSpPr>
        <xdr:cNvPr id="5501619" name="Line 284">
          <a:extLst>
            <a:ext uri="{FF2B5EF4-FFF2-40B4-BE49-F238E27FC236}">
              <a16:creationId xmlns:a16="http://schemas.microsoft.com/office/drawing/2014/main" id="{00000000-0008-0000-0700-0000B3F25300}"/>
            </a:ext>
          </a:extLst>
        </xdr:cNvPr>
        <xdr:cNvSpPr>
          <a:spLocks noChangeShapeType="1"/>
        </xdr:cNvSpPr>
      </xdr:nvSpPr>
      <xdr:spPr bwMode="auto">
        <a:xfrm flipV="1">
          <a:off x="6610350" y="17068800"/>
          <a:ext cx="0" cy="698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1428750</xdr:colOff>
      <xdr:row>99</xdr:row>
      <xdr:rowOff>139700</xdr:rowOff>
    </xdr:from>
    <xdr:to>
      <xdr:col>6</xdr:col>
      <xdr:colOff>1428750</xdr:colOff>
      <xdr:row>103</xdr:row>
      <xdr:rowOff>0</xdr:rowOff>
    </xdr:to>
    <xdr:sp macro="" textlink="">
      <xdr:nvSpPr>
        <xdr:cNvPr id="5501620" name="Line 285">
          <a:extLst>
            <a:ext uri="{FF2B5EF4-FFF2-40B4-BE49-F238E27FC236}">
              <a16:creationId xmlns:a16="http://schemas.microsoft.com/office/drawing/2014/main" id="{00000000-0008-0000-0700-0000B4F25300}"/>
            </a:ext>
          </a:extLst>
        </xdr:cNvPr>
        <xdr:cNvSpPr>
          <a:spLocks noChangeShapeType="1"/>
        </xdr:cNvSpPr>
      </xdr:nvSpPr>
      <xdr:spPr bwMode="auto">
        <a:xfrm flipH="1" flipV="1">
          <a:off x="5708650" y="16605250"/>
          <a:ext cx="0" cy="5334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1422400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501621" name="Line 286">
          <a:extLst>
            <a:ext uri="{FF2B5EF4-FFF2-40B4-BE49-F238E27FC236}">
              <a16:creationId xmlns:a16="http://schemas.microsoft.com/office/drawing/2014/main" id="{00000000-0008-0000-0700-0000B5F25300}"/>
            </a:ext>
          </a:extLst>
        </xdr:cNvPr>
        <xdr:cNvSpPr>
          <a:spLocks noChangeShapeType="1"/>
        </xdr:cNvSpPr>
      </xdr:nvSpPr>
      <xdr:spPr bwMode="auto">
        <a:xfrm>
          <a:off x="5702300" y="17138650"/>
          <a:ext cx="9080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6</xdr:col>
      <xdr:colOff>685800</xdr:colOff>
      <xdr:row>89</xdr:row>
      <xdr:rowOff>69850</xdr:rowOff>
    </xdr:from>
    <xdr:to>
      <xdr:col>6</xdr:col>
      <xdr:colOff>1695450</xdr:colOff>
      <xdr:row>89</xdr:row>
      <xdr:rowOff>69850</xdr:rowOff>
    </xdr:to>
    <xdr:sp macro="" textlink="">
      <xdr:nvSpPr>
        <xdr:cNvPr id="5501622" name="Line 287">
          <a:extLst>
            <a:ext uri="{FF2B5EF4-FFF2-40B4-BE49-F238E27FC236}">
              <a16:creationId xmlns:a16="http://schemas.microsoft.com/office/drawing/2014/main" id="{00000000-0008-0000-0700-0000B6F25300}"/>
            </a:ext>
          </a:extLst>
        </xdr:cNvPr>
        <xdr:cNvSpPr>
          <a:spLocks noChangeShapeType="1"/>
        </xdr:cNvSpPr>
      </xdr:nvSpPr>
      <xdr:spPr bwMode="auto">
        <a:xfrm>
          <a:off x="4965700" y="14916150"/>
          <a:ext cx="10096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990600</xdr:colOff>
      <xdr:row>93</xdr:row>
      <xdr:rowOff>25400</xdr:rowOff>
    </xdr:from>
    <xdr:to>
      <xdr:col>6</xdr:col>
      <xdr:colOff>1397000</xdr:colOff>
      <xdr:row>93</xdr:row>
      <xdr:rowOff>25400</xdr:rowOff>
    </xdr:to>
    <xdr:sp macro="" textlink="">
      <xdr:nvSpPr>
        <xdr:cNvPr id="5501623" name="Line 288">
          <a:extLst>
            <a:ext uri="{FF2B5EF4-FFF2-40B4-BE49-F238E27FC236}">
              <a16:creationId xmlns:a16="http://schemas.microsoft.com/office/drawing/2014/main" id="{00000000-0008-0000-0700-0000B7F25300}"/>
            </a:ext>
          </a:extLst>
        </xdr:cNvPr>
        <xdr:cNvSpPr>
          <a:spLocks noChangeShapeType="1"/>
        </xdr:cNvSpPr>
      </xdr:nvSpPr>
      <xdr:spPr bwMode="auto">
        <a:xfrm>
          <a:off x="5270500" y="15519400"/>
          <a:ext cx="4064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850900</xdr:colOff>
      <xdr:row>87</xdr:row>
      <xdr:rowOff>57150</xdr:rowOff>
    </xdr:from>
    <xdr:to>
      <xdr:col>8</xdr:col>
      <xdr:colOff>44450</xdr:colOff>
      <xdr:row>87</xdr:row>
      <xdr:rowOff>57150</xdr:rowOff>
    </xdr:to>
    <xdr:sp macro="" textlink="">
      <xdr:nvSpPr>
        <xdr:cNvPr id="5501624" name="Line 289">
          <a:extLst>
            <a:ext uri="{FF2B5EF4-FFF2-40B4-BE49-F238E27FC236}">
              <a16:creationId xmlns:a16="http://schemas.microsoft.com/office/drawing/2014/main" id="{00000000-0008-0000-0700-0000B8F25300}"/>
            </a:ext>
          </a:extLst>
        </xdr:cNvPr>
        <xdr:cNvSpPr>
          <a:spLocks noChangeShapeType="1"/>
        </xdr:cNvSpPr>
      </xdr:nvSpPr>
      <xdr:spPr bwMode="auto">
        <a:xfrm>
          <a:off x="5130800" y="145796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88</xdr:row>
      <xdr:rowOff>57150</xdr:rowOff>
    </xdr:from>
    <xdr:to>
      <xdr:col>8</xdr:col>
      <xdr:colOff>57150</xdr:colOff>
      <xdr:row>88</xdr:row>
      <xdr:rowOff>57150</xdr:rowOff>
    </xdr:to>
    <xdr:sp macro="" textlink="">
      <xdr:nvSpPr>
        <xdr:cNvPr id="5501625" name="Line 290">
          <a:extLst>
            <a:ext uri="{FF2B5EF4-FFF2-40B4-BE49-F238E27FC236}">
              <a16:creationId xmlns:a16="http://schemas.microsoft.com/office/drawing/2014/main" id="{00000000-0008-0000-0700-0000B9F25300}"/>
            </a:ext>
          </a:extLst>
        </xdr:cNvPr>
        <xdr:cNvSpPr>
          <a:spLocks noChangeShapeType="1"/>
        </xdr:cNvSpPr>
      </xdr:nvSpPr>
      <xdr:spPr bwMode="auto">
        <a:xfrm>
          <a:off x="4978400" y="14738350"/>
          <a:ext cx="16891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698500</xdr:colOff>
      <xdr:row>90</xdr:row>
      <xdr:rowOff>139700</xdr:rowOff>
    </xdr:from>
    <xdr:to>
      <xdr:col>8</xdr:col>
      <xdr:colOff>69850</xdr:colOff>
      <xdr:row>90</xdr:row>
      <xdr:rowOff>139700</xdr:rowOff>
    </xdr:to>
    <xdr:sp macro="" textlink="">
      <xdr:nvSpPr>
        <xdr:cNvPr id="5501626" name="Line 291">
          <a:extLst>
            <a:ext uri="{FF2B5EF4-FFF2-40B4-BE49-F238E27FC236}">
              <a16:creationId xmlns:a16="http://schemas.microsoft.com/office/drawing/2014/main" id="{00000000-0008-0000-0700-0000BAF25300}"/>
            </a:ext>
          </a:extLst>
        </xdr:cNvPr>
        <xdr:cNvSpPr>
          <a:spLocks noChangeShapeType="1"/>
        </xdr:cNvSpPr>
      </xdr:nvSpPr>
      <xdr:spPr bwMode="auto">
        <a:xfrm>
          <a:off x="4978400" y="15157450"/>
          <a:ext cx="17018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977900</xdr:colOff>
      <xdr:row>92</xdr:row>
      <xdr:rowOff>44450</xdr:rowOff>
    </xdr:from>
    <xdr:to>
      <xdr:col>8</xdr:col>
      <xdr:colOff>44450</xdr:colOff>
      <xdr:row>92</xdr:row>
      <xdr:rowOff>44450</xdr:rowOff>
    </xdr:to>
    <xdr:sp macro="" textlink="">
      <xdr:nvSpPr>
        <xdr:cNvPr id="5501627" name="Line 292">
          <a:extLst>
            <a:ext uri="{FF2B5EF4-FFF2-40B4-BE49-F238E27FC236}">
              <a16:creationId xmlns:a16="http://schemas.microsoft.com/office/drawing/2014/main" id="{00000000-0008-0000-0700-0000BBF25300}"/>
            </a:ext>
          </a:extLst>
        </xdr:cNvPr>
        <xdr:cNvSpPr>
          <a:spLocks noChangeShapeType="1"/>
        </xdr:cNvSpPr>
      </xdr:nvSpPr>
      <xdr:spPr bwMode="auto">
        <a:xfrm>
          <a:off x="5257800" y="15379700"/>
          <a:ext cx="1397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1790700</xdr:colOff>
      <xdr:row>80</xdr:row>
      <xdr:rowOff>0</xdr:rowOff>
    </xdr:from>
    <xdr:to>
      <xdr:col>6</xdr:col>
      <xdr:colOff>1790700</xdr:colOff>
      <xdr:row>87</xdr:row>
      <xdr:rowOff>63500</xdr:rowOff>
    </xdr:to>
    <xdr:sp macro="" textlink="">
      <xdr:nvSpPr>
        <xdr:cNvPr id="5501628" name="Line 293">
          <a:extLst>
            <a:ext uri="{FF2B5EF4-FFF2-40B4-BE49-F238E27FC236}">
              <a16:creationId xmlns:a16="http://schemas.microsoft.com/office/drawing/2014/main" id="{00000000-0008-0000-0700-0000BCF25300}"/>
            </a:ext>
          </a:extLst>
        </xdr:cNvPr>
        <xdr:cNvSpPr>
          <a:spLocks noChangeShapeType="1"/>
        </xdr:cNvSpPr>
      </xdr:nvSpPr>
      <xdr:spPr bwMode="auto">
        <a:xfrm>
          <a:off x="6070600" y="13354050"/>
          <a:ext cx="0" cy="1231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7</xdr:col>
      <xdr:colOff>190500</xdr:colOff>
      <xdr:row>80</xdr:row>
      <xdr:rowOff>0</xdr:rowOff>
    </xdr:from>
    <xdr:to>
      <xdr:col>7</xdr:col>
      <xdr:colOff>190500</xdr:colOff>
      <xdr:row>90</xdr:row>
      <xdr:rowOff>133350</xdr:rowOff>
    </xdr:to>
    <xdr:sp macro="" textlink="">
      <xdr:nvSpPr>
        <xdr:cNvPr id="5501629" name="Line 294">
          <a:extLst>
            <a:ext uri="{FF2B5EF4-FFF2-40B4-BE49-F238E27FC236}">
              <a16:creationId xmlns:a16="http://schemas.microsoft.com/office/drawing/2014/main" id="{00000000-0008-0000-0700-0000BDF25300}"/>
            </a:ext>
          </a:extLst>
        </xdr:cNvPr>
        <xdr:cNvSpPr>
          <a:spLocks noChangeShapeType="1"/>
        </xdr:cNvSpPr>
      </xdr:nvSpPr>
      <xdr:spPr bwMode="auto">
        <a:xfrm>
          <a:off x="6330950" y="13354050"/>
          <a:ext cx="0" cy="17970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87</xdr:row>
      <xdr:rowOff>57150</xdr:rowOff>
    </xdr:from>
    <xdr:to>
      <xdr:col>8</xdr:col>
      <xdr:colOff>44450</xdr:colOff>
      <xdr:row>88</xdr:row>
      <xdr:rowOff>57150</xdr:rowOff>
    </xdr:to>
    <xdr:sp macro="" textlink="">
      <xdr:nvSpPr>
        <xdr:cNvPr id="5501630" name="Line 295">
          <a:extLst>
            <a:ext uri="{FF2B5EF4-FFF2-40B4-BE49-F238E27FC236}">
              <a16:creationId xmlns:a16="http://schemas.microsoft.com/office/drawing/2014/main" id="{00000000-0008-0000-0700-0000BEF25300}"/>
            </a:ext>
          </a:extLst>
        </xdr:cNvPr>
        <xdr:cNvSpPr>
          <a:spLocks noChangeShapeType="1"/>
        </xdr:cNvSpPr>
      </xdr:nvSpPr>
      <xdr:spPr bwMode="auto">
        <a:xfrm>
          <a:off x="6654800" y="14579600"/>
          <a:ext cx="0" cy="15875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8</xdr:col>
      <xdr:colOff>44450</xdr:colOff>
      <xdr:row>90</xdr:row>
      <xdr:rowOff>139700</xdr:rowOff>
    </xdr:from>
    <xdr:to>
      <xdr:col>8</xdr:col>
      <xdr:colOff>44450</xdr:colOff>
      <xdr:row>92</xdr:row>
      <xdr:rowOff>44450</xdr:rowOff>
    </xdr:to>
    <xdr:sp macro="" textlink="">
      <xdr:nvSpPr>
        <xdr:cNvPr id="5501631" name="Line 296">
          <a:extLst>
            <a:ext uri="{FF2B5EF4-FFF2-40B4-BE49-F238E27FC236}">
              <a16:creationId xmlns:a16="http://schemas.microsoft.com/office/drawing/2014/main" id="{00000000-0008-0000-0700-0000BFF25300}"/>
            </a:ext>
          </a:extLst>
        </xdr:cNvPr>
        <xdr:cNvSpPr>
          <a:spLocks noChangeShapeType="1"/>
        </xdr:cNvSpPr>
      </xdr:nvSpPr>
      <xdr:spPr bwMode="auto">
        <a:xfrm>
          <a:off x="6654800" y="15157450"/>
          <a:ext cx="0" cy="2222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838200</xdr:colOff>
      <xdr:row>84</xdr:row>
      <xdr:rowOff>101600</xdr:rowOff>
    </xdr:to>
    <xdr:sp macro="" textlink="">
      <xdr:nvSpPr>
        <xdr:cNvPr id="5501632" name="Line 297">
          <a:extLst>
            <a:ext uri="{FF2B5EF4-FFF2-40B4-BE49-F238E27FC236}">
              <a16:creationId xmlns:a16="http://schemas.microsoft.com/office/drawing/2014/main" id="{00000000-0008-0000-0700-0000C0F25300}"/>
            </a:ext>
          </a:extLst>
        </xdr:cNvPr>
        <xdr:cNvSpPr>
          <a:spLocks noChangeShapeType="1"/>
        </xdr:cNvSpPr>
      </xdr:nvSpPr>
      <xdr:spPr bwMode="auto">
        <a:xfrm>
          <a:off x="4279900" y="1412875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89</xdr:row>
      <xdr:rowOff>69850</xdr:rowOff>
    </xdr:from>
    <xdr:to>
      <xdr:col>6</xdr:col>
      <xdr:colOff>685800</xdr:colOff>
      <xdr:row>89</xdr:row>
      <xdr:rowOff>69850</xdr:rowOff>
    </xdr:to>
    <xdr:sp macro="" textlink="">
      <xdr:nvSpPr>
        <xdr:cNvPr id="5501633" name="Line 298">
          <a:extLst>
            <a:ext uri="{FF2B5EF4-FFF2-40B4-BE49-F238E27FC236}">
              <a16:creationId xmlns:a16="http://schemas.microsoft.com/office/drawing/2014/main" id="{00000000-0008-0000-0700-0000C1F25300}"/>
            </a:ext>
          </a:extLst>
        </xdr:cNvPr>
        <xdr:cNvSpPr>
          <a:spLocks noChangeShapeType="1"/>
        </xdr:cNvSpPr>
      </xdr:nvSpPr>
      <xdr:spPr bwMode="auto">
        <a:xfrm>
          <a:off x="4279900" y="14916150"/>
          <a:ext cx="685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971550</xdr:colOff>
      <xdr:row>93</xdr:row>
      <xdr:rowOff>25400</xdr:rowOff>
    </xdr:to>
    <xdr:sp macro="" textlink="">
      <xdr:nvSpPr>
        <xdr:cNvPr id="5501634" name="Line 299">
          <a:extLst>
            <a:ext uri="{FF2B5EF4-FFF2-40B4-BE49-F238E27FC236}">
              <a16:creationId xmlns:a16="http://schemas.microsoft.com/office/drawing/2014/main" id="{00000000-0008-0000-0700-0000C2F25300}"/>
            </a:ext>
          </a:extLst>
        </xdr:cNvPr>
        <xdr:cNvSpPr>
          <a:spLocks noChangeShapeType="1"/>
        </xdr:cNvSpPr>
      </xdr:nvSpPr>
      <xdr:spPr bwMode="auto">
        <a:xfrm>
          <a:off x="4279900" y="15519400"/>
          <a:ext cx="9715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476250</xdr:colOff>
      <xdr:row>96</xdr:row>
      <xdr:rowOff>76200</xdr:rowOff>
    </xdr:to>
    <xdr:sp macro="" textlink="">
      <xdr:nvSpPr>
        <xdr:cNvPr id="5501635" name="Line 300">
          <a:extLst>
            <a:ext uri="{FF2B5EF4-FFF2-40B4-BE49-F238E27FC236}">
              <a16:creationId xmlns:a16="http://schemas.microsoft.com/office/drawing/2014/main" id="{00000000-0008-0000-0700-0000C3F25300}"/>
            </a:ext>
          </a:extLst>
        </xdr:cNvPr>
        <xdr:cNvSpPr>
          <a:spLocks noChangeShapeType="1"/>
        </xdr:cNvSpPr>
      </xdr:nvSpPr>
      <xdr:spPr bwMode="auto">
        <a:xfrm>
          <a:off x="4279900" y="16052800"/>
          <a:ext cx="476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152400</xdr:colOff>
      <xdr:row>103</xdr:row>
      <xdr:rowOff>0</xdr:rowOff>
    </xdr:from>
    <xdr:to>
      <xdr:col>7</xdr:col>
      <xdr:colOff>152400</xdr:colOff>
      <xdr:row>104</xdr:row>
      <xdr:rowOff>12700</xdr:rowOff>
    </xdr:to>
    <xdr:sp macro="" textlink="">
      <xdr:nvSpPr>
        <xdr:cNvPr id="5501636" name="Line 301">
          <a:extLst>
            <a:ext uri="{FF2B5EF4-FFF2-40B4-BE49-F238E27FC236}">
              <a16:creationId xmlns:a16="http://schemas.microsoft.com/office/drawing/2014/main" id="{00000000-0008-0000-0700-0000C4F25300}"/>
            </a:ext>
          </a:extLst>
        </xdr:cNvPr>
        <xdr:cNvSpPr>
          <a:spLocks noChangeShapeType="1"/>
        </xdr:cNvSpPr>
      </xdr:nvSpPr>
      <xdr:spPr bwMode="auto">
        <a:xfrm>
          <a:off x="6292850" y="17138650"/>
          <a:ext cx="0" cy="184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152400</xdr:colOff>
      <xdr:row>81</xdr:row>
      <xdr:rowOff>76200</xdr:rowOff>
    </xdr:to>
    <xdr:sp macro="" textlink="">
      <xdr:nvSpPr>
        <xdr:cNvPr id="5501637" name="Line 302">
          <a:extLst>
            <a:ext uri="{FF2B5EF4-FFF2-40B4-BE49-F238E27FC236}">
              <a16:creationId xmlns:a16="http://schemas.microsoft.com/office/drawing/2014/main" id="{00000000-0008-0000-0700-0000C5F25300}"/>
            </a:ext>
          </a:extLst>
        </xdr:cNvPr>
        <xdr:cNvSpPr>
          <a:spLocks noChangeShapeType="1"/>
        </xdr:cNvSpPr>
      </xdr:nvSpPr>
      <xdr:spPr bwMode="auto">
        <a:xfrm>
          <a:off x="4279900" y="13601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1778000</xdr:colOff>
      <xdr:row>83</xdr:row>
      <xdr:rowOff>82550</xdr:rowOff>
    </xdr:from>
    <xdr:to>
      <xdr:col>9</xdr:col>
      <xdr:colOff>0</xdr:colOff>
      <xdr:row>83</xdr:row>
      <xdr:rowOff>82550</xdr:rowOff>
    </xdr:to>
    <xdr:sp macro="" textlink="">
      <xdr:nvSpPr>
        <xdr:cNvPr id="5501638" name="Line 303">
          <a:extLst>
            <a:ext uri="{FF2B5EF4-FFF2-40B4-BE49-F238E27FC236}">
              <a16:creationId xmlns:a16="http://schemas.microsoft.com/office/drawing/2014/main" id="{00000000-0008-0000-0700-0000C6F25300}"/>
            </a:ext>
          </a:extLst>
        </xdr:cNvPr>
        <xdr:cNvSpPr>
          <a:spLocks noChangeShapeType="1"/>
        </xdr:cNvSpPr>
      </xdr:nvSpPr>
      <xdr:spPr bwMode="auto">
        <a:xfrm flipV="1">
          <a:off x="6057900" y="13944600"/>
          <a:ext cx="1022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7</xdr:col>
      <xdr:colOff>190500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501639" name="Line 304">
          <a:extLst>
            <a:ext uri="{FF2B5EF4-FFF2-40B4-BE49-F238E27FC236}">
              <a16:creationId xmlns:a16="http://schemas.microsoft.com/office/drawing/2014/main" id="{00000000-0008-0000-0700-0000C7F25300}"/>
            </a:ext>
          </a:extLst>
        </xdr:cNvPr>
        <xdr:cNvSpPr>
          <a:spLocks noChangeShapeType="1"/>
        </xdr:cNvSpPr>
      </xdr:nvSpPr>
      <xdr:spPr bwMode="auto">
        <a:xfrm flipV="1">
          <a:off x="6330950" y="142748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44450</xdr:colOff>
      <xdr:row>87</xdr:row>
      <xdr:rowOff>133350</xdr:rowOff>
    </xdr:from>
    <xdr:to>
      <xdr:col>9</xdr:col>
      <xdr:colOff>0</xdr:colOff>
      <xdr:row>87</xdr:row>
      <xdr:rowOff>133350</xdr:rowOff>
    </xdr:to>
    <xdr:sp macro="" textlink="">
      <xdr:nvSpPr>
        <xdr:cNvPr id="5501640" name="Line 305">
          <a:extLst>
            <a:ext uri="{FF2B5EF4-FFF2-40B4-BE49-F238E27FC236}">
              <a16:creationId xmlns:a16="http://schemas.microsoft.com/office/drawing/2014/main" id="{00000000-0008-0000-0700-0000C8F25300}"/>
            </a:ext>
          </a:extLst>
        </xdr:cNvPr>
        <xdr:cNvSpPr>
          <a:spLocks noChangeShapeType="1"/>
        </xdr:cNvSpPr>
      </xdr:nvSpPr>
      <xdr:spPr bwMode="auto">
        <a:xfrm flipV="1">
          <a:off x="6654800" y="14655800"/>
          <a:ext cx="425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8</xdr:col>
      <xdr:colOff>488950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501641" name="Line 307">
          <a:extLst>
            <a:ext uri="{FF2B5EF4-FFF2-40B4-BE49-F238E27FC236}">
              <a16:creationId xmlns:a16="http://schemas.microsoft.com/office/drawing/2014/main" id="{00000000-0008-0000-0700-0000C9F25300}"/>
            </a:ext>
          </a:extLst>
        </xdr:cNvPr>
        <xdr:cNvSpPr>
          <a:spLocks noChangeShapeType="1"/>
        </xdr:cNvSpPr>
      </xdr:nvSpPr>
      <xdr:spPr bwMode="auto">
        <a:xfrm flipV="1">
          <a:off x="7080250" y="1493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44450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501642" name="Line 308">
          <a:extLst>
            <a:ext uri="{FF2B5EF4-FFF2-40B4-BE49-F238E27FC236}">
              <a16:creationId xmlns:a16="http://schemas.microsoft.com/office/drawing/2014/main" id="{00000000-0008-0000-0700-0000CAF25300}"/>
            </a:ext>
          </a:extLst>
        </xdr:cNvPr>
        <xdr:cNvSpPr>
          <a:spLocks noChangeShapeType="1"/>
        </xdr:cNvSpPr>
      </xdr:nvSpPr>
      <xdr:spPr bwMode="auto">
        <a:xfrm flipH="1" flipV="1">
          <a:off x="6654800" y="15252700"/>
          <a:ext cx="4381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8</xdr:col>
      <xdr:colOff>488950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501643" name="Line 309">
          <a:extLst>
            <a:ext uri="{FF2B5EF4-FFF2-40B4-BE49-F238E27FC236}">
              <a16:creationId xmlns:a16="http://schemas.microsoft.com/office/drawing/2014/main" id="{00000000-0008-0000-0700-0000CBF25300}"/>
            </a:ext>
          </a:extLst>
        </xdr:cNvPr>
        <xdr:cNvSpPr>
          <a:spLocks noChangeShapeType="1"/>
        </xdr:cNvSpPr>
      </xdr:nvSpPr>
      <xdr:spPr bwMode="auto">
        <a:xfrm>
          <a:off x="7080250" y="160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488950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501644" name="Line 310">
          <a:extLst>
            <a:ext uri="{FF2B5EF4-FFF2-40B4-BE49-F238E27FC236}">
              <a16:creationId xmlns:a16="http://schemas.microsoft.com/office/drawing/2014/main" id="{00000000-0008-0000-0700-0000CCF25300}"/>
            </a:ext>
          </a:extLst>
        </xdr:cNvPr>
        <xdr:cNvSpPr>
          <a:spLocks noChangeShapeType="1"/>
        </xdr:cNvSpPr>
      </xdr:nvSpPr>
      <xdr:spPr bwMode="auto">
        <a:xfrm>
          <a:off x="7080250" y="16725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222250</xdr:colOff>
      <xdr:row>89</xdr:row>
      <xdr:rowOff>88900</xdr:rowOff>
    </xdr:from>
    <xdr:to>
      <xdr:col>8</xdr:col>
      <xdr:colOff>463550</xdr:colOff>
      <xdr:row>89</xdr:row>
      <xdr:rowOff>88900</xdr:rowOff>
    </xdr:to>
    <xdr:sp macro="" textlink="">
      <xdr:nvSpPr>
        <xdr:cNvPr id="5501645" name="Line 278">
          <a:extLst>
            <a:ext uri="{FF2B5EF4-FFF2-40B4-BE49-F238E27FC236}">
              <a16:creationId xmlns:a16="http://schemas.microsoft.com/office/drawing/2014/main" id="{00000000-0008-0000-0700-0000CDF25300}"/>
            </a:ext>
          </a:extLst>
        </xdr:cNvPr>
        <xdr:cNvSpPr>
          <a:spLocks noChangeShapeType="1"/>
        </xdr:cNvSpPr>
      </xdr:nvSpPr>
      <xdr:spPr bwMode="auto">
        <a:xfrm>
          <a:off x="6832600" y="14935200"/>
          <a:ext cx="241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69850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501646" name="Group 232">
          <a:extLst>
            <a:ext uri="{FF2B5EF4-FFF2-40B4-BE49-F238E27FC236}">
              <a16:creationId xmlns:a16="http://schemas.microsoft.com/office/drawing/2014/main" id="{00000000-0008-0000-0700-0000CEF25300}"/>
            </a:ext>
          </a:extLst>
        </xdr:cNvPr>
        <xdr:cNvGrpSpPr>
          <a:grpSpLocks/>
        </xdr:cNvGrpSpPr>
      </xdr:nvGrpSpPr>
      <xdr:grpSpPr bwMode="auto">
        <a:xfrm>
          <a:off x="12909550" y="184150"/>
          <a:ext cx="2101850" cy="5127625"/>
          <a:chOff x="3421" y="5379"/>
          <a:chExt cx="2289" cy="5759"/>
        </a:xfrm>
      </xdr:grpSpPr>
      <xdr:grpSp>
        <xdr:nvGrpSpPr>
          <xdr:cNvPr id="5501685" name="Group 233">
            <a:extLst>
              <a:ext uri="{FF2B5EF4-FFF2-40B4-BE49-F238E27FC236}">
                <a16:creationId xmlns:a16="http://schemas.microsoft.com/office/drawing/2014/main" id="{00000000-0008-0000-0700-0000F5F253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501703" name="Arc 234">
              <a:extLst>
                <a:ext uri="{FF2B5EF4-FFF2-40B4-BE49-F238E27FC236}">
                  <a16:creationId xmlns:a16="http://schemas.microsoft.com/office/drawing/2014/main" id="{00000000-0008-0000-0700-000007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704" name="Group 235">
              <a:extLst>
                <a:ext uri="{FF2B5EF4-FFF2-40B4-BE49-F238E27FC236}">
                  <a16:creationId xmlns:a16="http://schemas.microsoft.com/office/drawing/2014/main" id="{00000000-0008-0000-0700-000008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705" name="Line 236">
                <a:extLst>
                  <a:ext uri="{FF2B5EF4-FFF2-40B4-BE49-F238E27FC236}">
                    <a16:creationId xmlns:a16="http://schemas.microsoft.com/office/drawing/2014/main" id="{00000000-0008-0000-0700-000009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6" name="Line 237">
                <a:extLst>
                  <a:ext uri="{FF2B5EF4-FFF2-40B4-BE49-F238E27FC236}">
                    <a16:creationId xmlns:a16="http://schemas.microsoft.com/office/drawing/2014/main" id="{00000000-0008-0000-0700-00000A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7" name="Line 238">
                <a:extLst>
                  <a:ext uri="{FF2B5EF4-FFF2-40B4-BE49-F238E27FC236}">
                    <a16:creationId xmlns:a16="http://schemas.microsoft.com/office/drawing/2014/main" id="{00000000-0008-0000-0700-00000B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8" name="Line 239">
                <a:extLst>
                  <a:ext uri="{FF2B5EF4-FFF2-40B4-BE49-F238E27FC236}">
                    <a16:creationId xmlns:a16="http://schemas.microsoft.com/office/drawing/2014/main" id="{00000000-0008-0000-0700-00000C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9" name="Line 240">
                <a:extLst>
                  <a:ext uri="{FF2B5EF4-FFF2-40B4-BE49-F238E27FC236}">
                    <a16:creationId xmlns:a16="http://schemas.microsoft.com/office/drawing/2014/main" id="{00000000-0008-0000-0700-00000D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grpSp>
        <xdr:nvGrpSpPr>
          <xdr:cNvPr id="5501686" name="Group 241">
            <a:extLst>
              <a:ext uri="{FF2B5EF4-FFF2-40B4-BE49-F238E27FC236}">
                <a16:creationId xmlns:a16="http://schemas.microsoft.com/office/drawing/2014/main" id="{00000000-0008-0000-0700-0000F6F253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501696" name="Arc 242">
              <a:extLst>
                <a:ext uri="{FF2B5EF4-FFF2-40B4-BE49-F238E27FC236}">
                  <a16:creationId xmlns:a16="http://schemas.microsoft.com/office/drawing/2014/main" id="{00000000-0008-0000-0700-000000F353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</xdr:spPr>
        </xdr:sp>
        <xdr:grpSp>
          <xdr:nvGrpSpPr>
            <xdr:cNvPr id="5501697" name="Group 243">
              <a:extLst>
                <a:ext uri="{FF2B5EF4-FFF2-40B4-BE49-F238E27FC236}">
                  <a16:creationId xmlns:a16="http://schemas.microsoft.com/office/drawing/2014/main" id="{00000000-0008-0000-0700-000001F353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501698" name="Line 244">
                <a:extLst>
                  <a:ext uri="{FF2B5EF4-FFF2-40B4-BE49-F238E27FC236}">
                    <a16:creationId xmlns:a16="http://schemas.microsoft.com/office/drawing/2014/main" id="{00000000-0008-0000-0700-000002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699" name="Line 245">
                <a:extLst>
                  <a:ext uri="{FF2B5EF4-FFF2-40B4-BE49-F238E27FC236}">
                    <a16:creationId xmlns:a16="http://schemas.microsoft.com/office/drawing/2014/main" id="{00000000-0008-0000-0700-000003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0" name="Line 246">
                <a:extLst>
                  <a:ext uri="{FF2B5EF4-FFF2-40B4-BE49-F238E27FC236}">
                    <a16:creationId xmlns:a16="http://schemas.microsoft.com/office/drawing/2014/main" id="{00000000-0008-0000-0700-000004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1" name="Line 247">
                <a:extLst>
                  <a:ext uri="{FF2B5EF4-FFF2-40B4-BE49-F238E27FC236}">
                    <a16:creationId xmlns:a16="http://schemas.microsoft.com/office/drawing/2014/main" id="{00000000-0008-0000-0700-000005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5501702" name="Line 248">
                <a:extLst>
                  <a:ext uri="{FF2B5EF4-FFF2-40B4-BE49-F238E27FC236}">
                    <a16:creationId xmlns:a16="http://schemas.microsoft.com/office/drawing/2014/main" id="{00000000-0008-0000-0700-000006F353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</xdr:spPr>
          </xdr:sp>
        </xdr:grpSp>
      </xdr:grpSp>
      <xdr:sp macro="" textlink="">
        <xdr:nvSpPr>
          <xdr:cNvPr id="5501687" name="Line 249">
            <a:extLst>
              <a:ext uri="{FF2B5EF4-FFF2-40B4-BE49-F238E27FC236}">
                <a16:creationId xmlns:a16="http://schemas.microsoft.com/office/drawing/2014/main" id="{00000000-0008-0000-0700-0000F7F253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8" name="Line 250">
            <a:extLst>
              <a:ext uri="{FF2B5EF4-FFF2-40B4-BE49-F238E27FC236}">
                <a16:creationId xmlns:a16="http://schemas.microsoft.com/office/drawing/2014/main" id="{00000000-0008-0000-0700-0000F8F253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89" name="Line 251">
            <a:extLst>
              <a:ext uri="{FF2B5EF4-FFF2-40B4-BE49-F238E27FC236}">
                <a16:creationId xmlns:a16="http://schemas.microsoft.com/office/drawing/2014/main" id="{00000000-0008-0000-0700-0000F9F253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0" name="Line 252">
            <a:extLst>
              <a:ext uri="{FF2B5EF4-FFF2-40B4-BE49-F238E27FC236}">
                <a16:creationId xmlns:a16="http://schemas.microsoft.com/office/drawing/2014/main" id="{00000000-0008-0000-0700-0000FA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1" name="Line 253">
            <a:extLst>
              <a:ext uri="{FF2B5EF4-FFF2-40B4-BE49-F238E27FC236}">
                <a16:creationId xmlns:a16="http://schemas.microsoft.com/office/drawing/2014/main" id="{00000000-0008-0000-0700-0000FBF253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2" name="Line 254">
            <a:extLst>
              <a:ext uri="{FF2B5EF4-FFF2-40B4-BE49-F238E27FC236}">
                <a16:creationId xmlns:a16="http://schemas.microsoft.com/office/drawing/2014/main" id="{00000000-0008-0000-0700-0000FC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3" name="Line 255">
            <a:extLst>
              <a:ext uri="{FF2B5EF4-FFF2-40B4-BE49-F238E27FC236}">
                <a16:creationId xmlns:a16="http://schemas.microsoft.com/office/drawing/2014/main" id="{00000000-0008-0000-0700-0000FDF253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4" name="Line 256">
            <a:extLst>
              <a:ext uri="{FF2B5EF4-FFF2-40B4-BE49-F238E27FC236}">
                <a16:creationId xmlns:a16="http://schemas.microsoft.com/office/drawing/2014/main" id="{00000000-0008-0000-0700-0000FEF253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  <xdr:sp macro="" textlink="">
        <xdr:nvSpPr>
          <xdr:cNvPr id="5501695" name="Line 257">
            <a:extLst>
              <a:ext uri="{FF2B5EF4-FFF2-40B4-BE49-F238E27FC236}">
                <a16:creationId xmlns:a16="http://schemas.microsoft.com/office/drawing/2014/main" id="{00000000-0008-0000-0700-0000FFF253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831850</xdr:colOff>
      <xdr:row>11</xdr:row>
      <xdr:rowOff>101600</xdr:rowOff>
    </xdr:from>
    <xdr:to>
      <xdr:col>18</xdr:col>
      <xdr:colOff>368300</xdr:colOff>
      <xdr:row>11</xdr:row>
      <xdr:rowOff>101600</xdr:rowOff>
    </xdr:to>
    <xdr:sp macro="" textlink="">
      <xdr:nvSpPr>
        <xdr:cNvPr id="5501647" name="Line 268">
          <a:extLst>
            <a:ext uri="{FF2B5EF4-FFF2-40B4-BE49-F238E27FC236}">
              <a16:creationId xmlns:a16="http://schemas.microsoft.com/office/drawing/2014/main" id="{00000000-0008-0000-0700-0000CFF25300}"/>
            </a:ext>
          </a:extLst>
        </xdr:cNvPr>
        <xdr:cNvSpPr>
          <a:spLocks noChangeShapeType="1"/>
        </xdr:cNvSpPr>
      </xdr:nvSpPr>
      <xdr:spPr bwMode="auto">
        <a:xfrm flipV="1">
          <a:off x="14408150" y="2032000"/>
          <a:ext cx="67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88900</xdr:colOff>
      <xdr:row>1</xdr:row>
      <xdr:rowOff>12700</xdr:rowOff>
    </xdr:from>
    <xdr:to>
      <xdr:col>19</xdr:col>
      <xdr:colOff>336550</xdr:colOff>
      <xdr:row>1</xdr:row>
      <xdr:rowOff>12700</xdr:rowOff>
    </xdr:to>
    <xdr:sp macro="" textlink="">
      <xdr:nvSpPr>
        <xdr:cNvPr id="5501648" name="Line 269">
          <a:extLst>
            <a:ext uri="{FF2B5EF4-FFF2-40B4-BE49-F238E27FC236}">
              <a16:creationId xmlns:a16="http://schemas.microsoft.com/office/drawing/2014/main" id="{00000000-0008-0000-0700-0000D0F25300}"/>
            </a:ext>
          </a:extLst>
        </xdr:cNvPr>
        <xdr:cNvSpPr>
          <a:spLocks noChangeShapeType="1"/>
        </xdr:cNvSpPr>
      </xdr:nvSpPr>
      <xdr:spPr bwMode="auto">
        <a:xfrm flipV="1">
          <a:off x="13665200" y="184150"/>
          <a:ext cx="2520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1054100</xdr:colOff>
      <xdr:row>1</xdr:row>
      <xdr:rowOff>12700</xdr:rowOff>
    </xdr:from>
    <xdr:to>
      <xdr:col>18</xdr:col>
      <xdr:colOff>1054100</xdr:colOff>
      <xdr:row>28</xdr:row>
      <xdr:rowOff>139700</xdr:rowOff>
    </xdr:to>
    <xdr:sp macro="" textlink="">
      <xdr:nvSpPr>
        <xdr:cNvPr id="5501649" name="Line 270">
          <a:extLst>
            <a:ext uri="{FF2B5EF4-FFF2-40B4-BE49-F238E27FC236}">
              <a16:creationId xmlns:a16="http://schemas.microsoft.com/office/drawing/2014/main" id="{00000000-0008-0000-0700-0000D1F25300}"/>
            </a:ext>
          </a:extLst>
        </xdr:cNvPr>
        <xdr:cNvSpPr>
          <a:spLocks noChangeShapeType="1"/>
        </xdr:cNvSpPr>
      </xdr:nvSpPr>
      <xdr:spPr bwMode="auto">
        <a:xfrm>
          <a:off x="15767050" y="184150"/>
          <a:ext cx="0" cy="47053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120650</xdr:colOff>
      <xdr:row>10</xdr:row>
      <xdr:rowOff>152400</xdr:rowOff>
    </xdr:from>
    <xdr:to>
      <xdr:col>18</xdr:col>
      <xdr:colOff>412750</xdr:colOff>
      <xdr:row>10</xdr:row>
      <xdr:rowOff>152400</xdr:rowOff>
    </xdr:to>
    <xdr:sp macro="" textlink="">
      <xdr:nvSpPr>
        <xdr:cNvPr id="5501650" name="Line 271">
          <a:extLst>
            <a:ext uri="{FF2B5EF4-FFF2-40B4-BE49-F238E27FC236}">
              <a16:creationId xmlns:a16="http://schemas.microsoft.com/office/drawing/2014/main" id="{00000000-0008-0000-0700-0000D2F25300}"/>
            </a:ext>
          </a:extLst>
        </xdr:cNvPr>
        <xdr:cNvSpPr>
          <a:spLocks noChangeShapeType="1"/>
        </xdr:cNvSpPr>
      </xdr:nvSpPr>
      <xdr:spPr bwMode="auto">
        <a:xfrm>
          <a:off x="13696950" y="1911350"/>
          <a:ext cx="1428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158750</xdr:rowOff>
    </xdr:from>
    <xdr:to>
      <xdr:col>17</xdr:col>
      <xdr:colOff>152400</xdr:colOff>
      <xdr:row>10</xdr:row>
      <xdr:rowOff>139700</xdr:rowOff>
    </xdr:to>
    <xdr:sp macro="" textlink="">
      <xdr:nvSpPr>
        <xdr:cNvPr id="5501651" name="Line 272">
          <a:extLst>
            <a:ext uri="{FF2B5EF4-FFF2-40B4-BE49-F238E27FC236}">
              <a16:creationId xmlns:a16="http://schemas.microsoft.com/office/drawing/2014/main" id="{00000000-0008-0000-0700-0000D3F25300}"/>
            </a:ext>
          </a:extLst>
        </xdr:cNvPr>
        <xdr:cNvSpPr>
          <a:spLocks noChangeShapeType="1"/>
        </xdr:cNvSpPr>
      </xdr:nvSpPr>
      <xdr:spPr bwMode="auto">
        <a:xfrm flipH="1">
          <a:off x="13728700" y="158750"/>
          <a:ext cx="0" cy="17399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234950</xdr:colOff>
      <xdr:row>31</xdr:row>
      <xdr:rowOff>95250</xdr:rowOff>
    </xdr:from>
    <xdr:to>
      <xdr:col>17</xdr:col>
      <xdr:colOff>82550</xdr:colOff>
      <xdr:row>31</xdr:row>
      <xdr:rowOff>95250</xdr:rowOff>
    </xdr:to>
    <xdr:sp macro="" textlink="">
      <xdr:nvSpPr>
        <xdr:cNvPr id="5501652" name="Line 277">
          <a:extLst>
            <a:ext uri="{FF2B5EF4-FFF2-40B4-BE49-F238E27FC236}">
              <a16:creationId xmlns:a16="http://schemas.microsoft.com/office/drawing/2014/main" id="{00000000-0008-0000-0700-0000D4F25300}"/>
            </a:ext>
          </a:extLst>
        </xdr:cNvPr>
        <xdr:cNvSpPr>
          <a:spLocks noChangeShapeType="1"/>
        </xdr:cNvSpPr>
      </xdr:nvSpPr>
      <xdr:spPr bwMode="auto">
        <a:xfrm>
          <a:off x="12998450" y="5359400"/>
          <a:ext cx="660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196850</xdr:colOff>
      <xdr:row>29</xdr:row>
      <xdr:rowOff>88900</xdr:rowOff>
    </xdr:from>
    <xdr:to>
      <xdr:col>18</xdr:col>
      <xdr:colOff>1035050</xdr:colOff>
      <xdr:row>29</xdr:row>
      <xdr:rowOff>88900</xdr:rowOff>
    </xdr:to>
    <xdr:sp macro="" textlink="">
      <xdr:nvSpPr>
        <xdr:cNvPr id="5501653" name="Line 280">
          <a:extLst>
            <a:ext uri="{FF2B5EF4-FFF2-40B4-BE49-F238E27FC236}">
              <a16:creationId xmlns:a16="http://schemas.microsoft.com/office/drawing/2014/main" id="{00000000-0008-0000-0700-0000D5F25300}"/>
            </a:ext>
          </a:extLst>
        </xdr:cNvPr>
        <xdr:cNvSpPr>
          <a:spLocks noChangeShapeType="1"/>
        </xdr:cNvSpPr>
      </xdr:nvSpPr>
      <xdr:spPr bwMode="auto">
        <a:xfrm>
          <a:off x="14909800" y="501015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508000</xdr:colOff>
      <xdr:row>20</xdr:row>
      <xdr:rowOff>0</xdr:rowOff>
    </xdr:from>
    <xdr:to>
      <xdr:col>17</xdr:col>
      <xdr:colOff>508000</xdr:colOff>
      <xdr:row>28</xdr:row>
      <xdr:rowOff>127000</xdr:rowOff>
    </xdr:to>
    <xdr:sp macro="" textlink="">
      <xdr:nvSpPr>
        <xdr:cNvPr id="5501654" name="Line 281">
          <a:extLst>
            <a:ext uri="{FF2B5EF4-FFF2-40B4-BE49-F238E27FC236}">
              <a16:creationId xmlns:a16="http://schemas.microsoft.com/office/drawing/2014/main" id="{00000000-0008-0000-0700-0000D6F25300}"/>
            </a:ext>
          </a:extLst>
        </xdr:cNvPr>
        <xdr:cNvSpPr>
          <a:spLocks noChangeShapeType="1"/>
        </xdr:cNvSpPr>
      </xdr:nvSpPr>
      <xdr:spPr bwMode="auto">
        <a:xfrm flipH="1">
          <a:off x="14084300" y="3422650"/>
          <a:ext cx="0" cy="14541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311150</xdr:colOff>
      <xdr:row>27</xdr:row>
      <xdr:rowOff>133350</xdr:rowOff>
    </xdr:from>
    <xdr:to>
      <xdr:col>16</xdr:col>
      <xdr:colOff>323850</xdr:colOff>
      <xdr:row>31</xdr:row>
      <xdr:rowOff>95250</xdr:rowOff>
    </xdr:to>
    <xdr:sp macro="" textlink="">
      <xdr:nvSpPr>
        <xdr:cNvPr id="5501655" name="Line 282">
          <a:extLst>
            <a:ext uri="{FF2B5EF4-FFF2-40B4-BE49-F238E27FC236}">
              <a16:creationId xmlns:a16="http://schemas.microsoft.com/office/drawing/2014/main" id="{00000000-0008-0000-0700-0000D7F25300}"/>
            </a:ext>
          </a:extLst>
        </xdr:cNvPr>
        <xdr:cNvSpPr>
          <a:spLocks noChangeShapeType="1"/>
        </xdr:cNvSpPr>
      </xdr:nvSpPr>
      <xdr:spPr bwMode="auto">
        <a:xfrm flipH="1">
          <a:off x="13074650" y="4711700"/>
          <a:ext cx="1270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16</xdr:col>
      <xdr:colOff>730250</xdr:colOff>
      <xdr:row>20</xdr:row>
      <xdr:rowOff>0</xdr:rowOff>
    </xdr:from>
    <xdr:to>
      <xdr:col>16</xdr:col>
      <xdr:colOff>730250</xdr:colOff>
      <xdr:row>27</xdr:row>
      <xdr:rowOff>133350</xdr:rowOff>
    </xdr:to>
    <xdr:sp macro="" textlink="">
      <xdr:nvSpPr>
        <xdr:cNvPr id="5501656" name="Line 283">
          <a:extLst>
            <a:ext uri="{FF2B5EF4-FFF2-40B4-BE49-F238E27FC236}">
              <a16:creationId xmlns:a16="http://schemas.microsoft.com/office/drawing/2014/main" id="{00000000-0008-0000-0700-0000D8F25300}"/>
            </a:ext>
          </a:extLst>
        </xdr:cNvPr>
        <xdr:cNvSpPr>
          <a:spLocks noChangeShapeType="1"/>
        </xdr:cNvSpPr>
      </xdr:nvSpPr>
      <xdr:spPr bwMode="auto">
        <a:xfrm>
          <a:off x="13493750" y="3422650"/>
          <a:ext cx="0" cy="12890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69850</xdr:colOff>
      <xdr:row>31</xdr:row>
      <xdr:rowOff>95250</xdr:rowOff>
    </xdr:from>
    <xdr:to>
      <xdr:col>17</xdr:col>
      <xdr:colOff>69850</xdr:colOff>
      <xdr:row>32</xdr:row>
      <xdr:rowOff>0</xdr:rowOff>
    </xdr:to>
    <xdr:sp macro="" textlink="">
      <xdr:nvSpPr>
        <xdr:cNvPr id="5501657" name="Line 284">
          <a:extLst>
            <a:ext uri="{FF2B5EF4-FFF2-40B4-BE49-F238E27FC236}">
              <a16:creationId xmlns:a16="http://schemas.microsoft.com/office/drawing/2014/main" id="{00000000-0008-0000-0700-0000D9F25300}"/>
            </a:ext>
          </a:extLst>
        </xdr:cNvPr>
        <xdr:cNvSpPr>
          <a:spLocks noChangeShapeType="1"/>
        </xdr:cNvSpPr>
      </xdr:nvSpPr>
      <xdr:spPr bwMode="auto">
        <a:xfrm flipV="1">
          <a:off x="13646150" y="53594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29</xdr:row>
      <xdr:rowOff>88900</xdr:rowOff>
    </xdr:from>
    <xdr:to>
      <xdr:col>17</xdr:col>
      <xdr:colOff>946150</xdr:colOff>
      <xdr:row>31</xdr:row>
      <xdr:rowOff>158750</xdr:rowOff>
    </xdr:to>
    <xdr:sp macro="" textlink="">
      <xdr:nvSpPr>
        <xdr:cNvPr id="5501658" name="Line 285">
          <a:extLst>
            <a:ext uri="{FF2B5EF4-FFF2-40B4-BE49-F238E27FC236}">
              <a16:creationId xmlns:a16="http://schemas.microsoft.com/office/drawing/2014/main" id="{00000000-0008-0000-0700-0000DAF25300}"/>
            </a:ext>
          </a:extLst>
        </xdr:cNvPr>
        <xdr:cNvSpPr>
          <a:spLocks noChangeShapeType="1"/>
        </xdr:cNvSpPr>
      </xdr:nvSpPr>
      <xdr:spPr bwMode="auto">
        <a:xfrm flipH="1" flipV="1">
          <a:off x="14522450" y="5010150"/>
          <a:ext cx="0" cy="41275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88900</xdr:colOff>
      <xdr:row>31</xdr:row>
      <xdr:rowOff>127000</xdr:rowOff>
    </xdr:from>
    <xdr:to>
      <xdr:col>17</xdr:col>
      <xdr:colOff>958850</xdr:colOff>
      <xdr:row>31</xdr:row>
      <xdr:rowOff>127000</xdr:rowOff>
    </xdr:to>
    <xdr:sp macro="" textlink="">
      <xdr:nvSpPr>
        <xdr:cNvPr id="5501659" name="Line 286">
          <a:extLst>
            <a:ext uri="{FF2B5EF4-FFF2-40B4-BE49-F238E27FC236}">
              <a16:creationId xmlns:a16="http://schemas.microsoft.com/office/drawing/2014/main" id="{00000000-0008-0000-0700-0000DBF25300}"/>
            </a:ext>
          </a:extLst>
        </xdr:cNvPr>
        <xdr:cNvSpPr>
          <a:spLocks noChangeShapeType="1"/>
        </xdr:cNvSpPr>
      </xdr:nvSpPr>
      <xdr:spPr bwMode="auto">
        <a:xfrm flipV="1">
          <a:off x="13665200" y="5391150"/>
          <a:ext cx="86995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666750</xdr:colOff>
      <xdr:row>16</xdr:row>
      <xdr:rowOff>57150</xdr:rowOff>
    </xdr:from>
    <xdr:to>
      <xdr:col>18</xdr:col>
      <xdr:colOff>514350</xdr:colOff>
      <xdr:row>16</xdr:row>
      <xdr:rowOff>57150</xdr:rowOff>
    </xdr:to>
    <xdr:sp macro="" textlink="">
      <xdr:nvSpPr>
        <xdr:cNvPr id="5501660" name="Line 287">
          <a:extLst>
            <a:ext uri="{FF2B5EF4-FFF2-40B4-BE49-F238E27FC236}">
              <a16:creationId xmlns:a16="http://schemas.microsoft.com/office/drawing/2014/main" id="{00000000-0008-0000-0700-0000DCF25300}"/>
            </a:ext>
          </a:extLst>
        </xdr:cNvPr>
        <xdr:cNvSpPr>
          <a:spLocks noChangeShapeType="1"/>
        </xdr:cNvSpPr>
      </xdr:nvSpPr>
      <xdr:spPr bwMode="auto">
        <a:xfrm flipV="1">
          <a:off x="14243050" y="2819400"/>
          <a:ext cx="98425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831850</xdr:colOff>
      <xdr:row>14</xdr:row>
      <xdr:rowOff>127000</xdr:rowOff>
    </xdr:from>
    <xdr:to>
      <xdr:col>19</xdr:col>
      <xdr:colOff>19050</xdr:colOff>
      <xdr:row>14</xdr:row>
      <xdr:rowOff>127000</xdr:rowOff>
    </xdr:to>
    <xdr:sp macro="" textlink="">
      <xdr:nvSpPr>
        <xdr:cNvPr id="5501661" name="Line 289">
          <a:extLst>
            <a:ext uri="{FF2B5EF4-FFF2-40B4-BE49-F238E27FC236}">
              <a16:creationId xmlns:a16="http://schemas.microsoft.com/office/drawing/2014/main" id="{00000000-0008-0000-0700-0000DDF25300}"/>
            </a:ext>
          </a:extLst>
        </xdr:cNvPr>
        <xdr:cNvSpPr>
          <a:spLocks noChangeShapeType="1"/>
        </xdr:cNvSpPr>
      </xdr:nvSpPr>
      <xdr:spPr bwMode="auto">
        <a:xfrm>
          <a:off x="14408150" y="255905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679450</xdr:colOff>
      <xdr:row>15</xdr:row>
      <xdr:rowOff>127000</xdr:rowOff>
    </xdr:from>
    <xdr:to>
      <xdr:col>19</xdr:col>
      <xdr:colOff>44450</xdr:colOff>
      <xdr:row>15</xdr:row>
      <xdr:rowOff>127000</xdr:rowOff>
    </xdr:to>
    <xdr:sp macro="" textlink="">
      <xdr:nvSpPr>
        <xdr:cNvPr id="5501662" name="Line 290">
          <a:extLst>
            <a:ext uri="{FF2B5EF4-FFF2-40B4-BE49-F238E27FC236}">
              <a16:creationId xmlns:a16="http://schemas.microsoft.com/office/drawing/2014/main" id="{00000000-0008-0000-0700-0000DEF25300}"/>
            </a:ext>
          </a:extLst>
        </xdr:cNvPr>
        <xdr:cNvSpPr>
          <a:spLocks noChangeShapeType="1"/>
        </xdr:cNvSpPr>
      </xdr:nvSpPr>
      <xdr:spPr bwMode="auto">
        <a:xfrm>
          <a:off x="14255750" y="2724150"/>
          <a:ext cx="16383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666750</xdr:colOff>
      <xdr:row>18</xdr:row>
      <xdr:rowOff>69850</xdr:rowOff>
    </xdr:from>
    <xdr:to>
      <xdr:col>19</xdr:col>
      <xdr:colOff>44450</xdr:colOff>
      <xdr:row>18</xdr:row>
      <xdr:rowOff>69850</xdr:rowOff>
    </xdr:to>
    <xdr:sp macro="" textlink="">
      <xdr:nvSpPr>
        <xdr:cNvPr id="5501663" name="Line 291">
          <a:extLst>
            <a:ext uri="{FF2B5EF4-FFF2-40B4-BE49-F238E27FC236}">
              <a16:creationId xmlns:a16="http://schemas.microsoft.com/office/drawing/2014/main" id="{00000000-0008-0000-0700-0000DFF25300}"/>
            </a:ext>
          </a:extLst>
        </xdr:cNvPr>
        <xdr:cNvSpPr>
          <a:spLocks noChangeShapeType="1"/>
        </xdr:cNvSpPr>
      </xdr:nvSpPr>
      <xdr:spPr bwMode="auto">
        <a:xfrm>
          <a:off x="14243050" y="3162300"/>
          <a:ext cx="1651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946150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501664" name="Line 292">
          <a:extLst>
            <a:ext uri="{FF2B5EF4-FFF2-40B4-BE49-F238E27FC236}">
              <a16:creationId xmlns:a16="http://schemas.microsoft.com/office/drawing/2014/main" id="{00000000-0008-0000-0700-0000E0F25300}"/>
            </a:ext>
          </a:extLst>
        </xdr:cNvPr>
        <xdr:cNvSpPr>
          <a:spLocks noChangeShapeType="1"/>
        </xdr:cNvSpPr>
      </xdr:nvSpPr>
      <xdr:spPr bwMode="auto">
        <a:xfrm>
          <a:off x="14522450" y="3397250"/>
          <a:ext cx="133985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1136650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501665" name="Line 293">
          <a:extLst>
            <a:ext uri="{FF2B5EF4-FFF2-40B4-BE49-F238E27FC236}">
              <a16:creationId xmlns:a16="http://schemas.microsoft.com/office/drawing/2014/main" id="{00000000-0008-0000-0700-0000E1F25300}"/>
            </a:ext>
          </a:extLst>
        </xdr:cNvPr>
        <xdr:cNvSpPr>
          <a:spLocks noChangeShapeType="1"/>
        </xdr:cNvSpPr>
      </xdr:nvSpPr>
      <xdr:spPr bwMode="auto">
        <a:xfrm flipH="1">
          <a:off x="14712950" y="17145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18</xdr:col>
      <xdr:colOff>190500</xdr:colOff>
      <xdr:row>1</xdr:row>
      <xdr:rowOff>0</xdr:rowOff>
    </xdr:from>
    <xdr:to>
      <xdr:col>18</xdr:col>
      <xdr:colOff>190500</xdr:colOff>
      <xdr:row>18</xdr:row>
      <xdr:rowOff>69850</xdr:rowOff>
    </xdr:to>
    <xdr:sp macro="" textlink="">
      <xdr:nvSpPr>
        <xdr:cNvPr id="5501666" name="Line 294">
          <a:extLst>
            <a:ext uri="{FF2B5EF4-FFF2-40B4-BE49-F238E27FC236}">
              <a16:creationId xmlns:a16="http://schemas.microsoft.com/office/drawing/2014/main" id="{00000000-0008-0000-0700-0000E2F25300}"/>
            </a:ext>
          </a:extLst>
        </xdr:cNvPr>
        <xdr:cNvSpPr>
          <a:spLocks noChangeShapeType="1"/>
        </xdr:cNvSpPr>
      </xdr:nvSpPr>
      <xdr:spPr bwMode="auto">
        <a:xfrm>
          <a:off x="14903450" y="171450"/>
          <a:ext cx="0" cy="29908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19050</xdr:colOff>
      <xdr:row>14</xdr:row>
      <xdr:rowOff>127000</xdr:rowOff>
    </xdr:from>
    <xdr:to>
      <xdr:col>19</xdr:col>
      <xdr:colOff>19050</xdr:colOff>
      <xdr:row>15</xdr:row>
      <xdr:rowOff>127000</xdr:rowOff>
    </xdr:to>
    <xdr:sp macro="" textlink="">
      <xdr:nvSpPr>
        <xdr:cNvPr id="5501667" name="Line 295">
          <a:extLst>
            <a:ext uri="{FF2B5EF4-FFF2-40B4-BE49-F238E27FC236}">
              <a16:creationId xmlns:a16="http://schemas.microsoft.com/office/drawing/2014/main" id="{00000000-0008-0000-0700-0000E3F25300}"/>
            </a:ext>
          </a:extLst>
        </xdr:cNvPr>
        <xdr:cNvSpPr>
          <a:spLocks noChangeShapeType="1"/>
        </xdr:cNvSpPr>
      </xdr:nvSpPr>
      <xdr:spPr bwMode="auto">
        <a:xfrm>
          <a:off x="15868650" y="255905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19</xdr:col>
      <xdr:colOff>12700</xdr:colOff>
      <xdr:row>18</xdr:row>
      <xdr:rowOff>69850</xdr:rowOff>
    </xdr:from>
    <xdr:to>
      <xdr:col>19</xdr:col>
      <xdr:colOff>12700</xdr:colOff>
      <xdr:row>19</xdr:row>
      <xdr:rowOff>139700</xdr:rowOff>
    </xdr:to>
    <xdr:sp macro="" textlink="">
      <xdr:nvSpPr>
        <xdr:cNvPr id="5501668" name="Line 296">
          <a:extLst>
            <a:ext uri="{FF2B5EF4-FFF2-40B4-BE49-F238E27FC236}">
              <a16:creationId xmlns:a16="http://schemas.microsoft.com/office/drawing/2014/main" id="{00000000-0008-0000-0700-0000E4F25300}"/>
            </a:ext>
          </a:extLst>
        </xdr:cNvPr>
        <xdr:cNvSpPr>
          <a:spLocks noChangeShapeType="1"/>
        </xdr:cNvSpPr>
      </xdr:nvSpPr>
      <xdr:spPr bwMode="auto">
        <a:xfrm>
          <a:off x="15862300" y="3162300"/>
          <a:ext cx="0" cy="23495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838200</xdr:colOff>
      <xdr:row>11</xdr:row>
      <xdr:rowOff>101600</xdr:rowOff>
    </xdr:to>
    <xdr:sp macro="" textlink="">
      <xdr:nvSpPr>
        <xdr:cNvPr id="5501669" name="Line 297">
          <a:extLst>
            <a:ext uri="{FF2B5EF4-FFF2-40B4-BE49-F238E27FC236}">
              <a16:creationId xmlns:a16="http://schemas.microsoft.com/office/drawing/2014/main" id="{00000000-0008-0000-0700-0000E5F25300}"/>
            </a:ext>
          </a:extLst>
        </xdr:cNvPr>
        <xdr:cNvSpPr>
          <a:spLocks noChangeShapeType="1"/>
        </xdr:cNvSpPr>
      </xdr:nvSpPr>
      <xdr:spPr bwMode="auto">
        <a:xfrm>
          <a:off x="13576300" y="20320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</xdr:row>
      <xdr:rowOff>69850</xdr:rowOff>
    </xdr:from>
    <xdr:to>
      <xdr:col>17</xdr:col>
      <xdr:colOff>679450</xdr:colOff>
      <xdr:row>16</xdr:row>
      <xdr:rowOff>69850</xdr:rowOff>
    </xdr:to>
    <xdr:sp macro="" textlink="">
      <xdr:nvSpPr>
        <xdr:cNvPr id="5501670" name="Line 298">
          <a:extLst>
            <a:ext uri="{FF2B5EF4-FFF2-40B4-BE49-F238E27FC236}">
              <a16:creationId xmlns:a16="http://schemas.microsoft.com/office/drawing/2014/main" id="{00000000-0008-0000-0700-0000E6F25300}"/>
            </a:ext>
          </a:extLst>
        </xdr:cNvPr>
        <xdr:cNvSpPr>
          <a:spLocks noChangeShapeType="1"/>
        </xdr:cNvSpPr>
      </xdr:nvSpPr>
      <xdr:spPr bwMode="auto">
        <a:xfrm>
          <a:off x="13576300" y="2832100"/>
          <a:ext cx="67945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17</xdr:col>
      <xdr:colOff>514350</xdr:colOff>
      <xdr:row>31</xdr:row>
      <xdr:rowOff>127000</xdr:rowOff>
    </xdr:from>
    <xdr:to>
      <xdr:col>17</xdr:col>
      <xdr:colOff>514350</xdr:colOff>
      <xdr:row>33</xdr:row>
      <xdr:rowOff>95250</xdr:rowOff>
    </xdr:to>
    <xdr:sp macro="" textlink="">
      <xdr:nvSpPr>
        <xdr:cNvPr id="5501671" name="Line 301">
          <a:extLst>
            <a:ext uri="{FF2B5EF4-FFF2-40B4-BE49-F238E27FC236}">
              <a16:creationId xmlns:a16="http://schemas.microsoft.com/office/drawing/2014/main" id="{00000000-0008-0000-0700-0000E7F25300}"/>
            </a:ext>
          </a:extLst>
        </xdr:cNvPr>
        <xdr:cNvSpPr>
          <a:spLocks noChangeShapeType="1"/>
        </xdr:cNvSpPr>
      </xdr:nvSpPr>
      <xdr:spPr bwMode="auto">
        <a:xfrm flipH="1">
          <a:off x="14090650" y="5391150"/>
          <a:ext cx="0" cy="31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152400</xdr:colOff>
      <xdr:row>2</xdr:row>
      <xdr:rowOff>76200</xdr:rowOff>
    </xdr:to>
    <xdr:sp macro="" textlink="">
      <xdr:nvSpPr>
        <xdr:cNvPr id="5501672" name="Line 302">
          <a:extLst>
            <a:ext uri="{FF2B5EF4-FFF2-40B4-BE49-F238E27FC236}">
              <a16:creationId xmlns:a16="http://schemas.microsoft.com/office/drawing/2014/main" id="{00000000-0008-0000-0700-0000E8F25300}"/>
            </a:ext>
          </a:extLst>
        </xdr:cNvPr>
        <xdr:cNvSpPr>
          <a:spLocks noChangeShapeType="1"/>
        </xdr:cNvSpPr>
      </xdr:nvSpPr>
      <xdr:spPr bwMode="auto">
        <a:xfrm>
          <a:off x="13576300" y="4191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1771650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501673" name="Line 303">
          <a:extLst>
            <a:ext uri="{FF2B5EF4-FFF2-40B4-BE49-F238E27FC236}">
              <a16:creationId xmlns:a16="http://schemas.microsoft.com/office/drawing/2014/main" id="{00000000-0008-0000-0700-0000E9F25300}"/>
            </a:ext>
          </a:extLst>
        </xdr:cNvPr>
        <xdr:cNvSpPr>
          <a:spLocks noChangeShapeType="1"/>
        </xdr:cNvSpPr>
      </xdr:nvSpPr>
      <xdr:spPr bwMode="auto">
        <a:xfrm flipV="1">
          <a:off x="14712950" y="1847850"/>
          <a:ext cx="19494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501674" name="Line 304">
          <a:extLst>
            <a:ext uri="{FF2B5EF4-FFF2-40B4-BE49-F238E27FC236}">
              <a16:creationId xmlns:a16="http://schemas.microsoft.com/office/drawing/2014/main" id="{00000000-0008-0000-0700-0000EAF25300}"/>
            </a:ext>
          </a:extLst>
        </xdr:cNvPr>
        <xdr:cNvSpPr>
          <a:spLocks noChangeShapeType="1"/>
        </xdr:cNvSpPr>
      </xdr:nvSpPr>
      <xdr:spPr bwMode="auto">
        <a:xfrm flipV="1">
          <a:off x="14903450" y="2178050"/>
          <a:ext cx="17589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15</xdr:row>
      <xdr:rowOff>44450</xdr:rowOff>
    </xdr:from>
    <xdr:to>
      <xdr:col>19</xdr:col>
      <xdr:colOff>787400</xdr:colOff>
      <xdr:row>15</xdr:row>
      <xdr:rowOff>44450</xdr:rowOff>
    </xdr:to>
    <xdr:sp macro="" textlink="">
      <xdr:nvSpPr>
        <xdr:cNvPr id="5501675" name="Line 305">
          <a:extLst>
            <a:ext uri="{FF2B5EF4-FFF2-40B4-BE49-F238E27FC236}">
              <a16:creationId xmlns:a16="http://schemas.microsoft.com/office/drawing/2014/main" id="{00000000-0008-0000-0700-0000EBF25300}"/>
            </a:ext>
          </a:extLst>
        </xdr:cNvPr>
        <xdr:cNvSpPr>
          <a:spLocks noChangeShapeType="1"/>
        </xdr:cNvSpPr>
      </xdr:nvSpPr>
      <xdr:spPr bwMode="auto">
        <a:xfrm flipV="1">
          <a:off x="15868650" y="2641600"/>
          <a:ext cx="76835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</xdr:spPr>
    </xdr:sp>
    <xdr:clientData/>
  </xdr:twoCellAnchor>
  <xdr:twoCellAnchor>
    <xdr:from>
      <xdr:col>19</xdr:col>
      <xdr:colOff>19050</xdr:colOff>
      <xdr:row>19</xdr:row>
      <xdr:rowOff>25400</xdr:rowOff>
    </xdr:from>
    <xdr:to>
      <xdr:col>19</xdr:col>
      <xdr:colOff>806450</xdr:colOff>
      <xdr:row>19</xdr:row>
      <xdr:rowOff>25400</xdr:rowOff>
    </xdr:to>
    <xdr:sp macro="" textlink="">
      <xdr:nvSpPr>
        <xdr:cNvPr id="5501676" name="Line 308">
          <a:extLst>
            <a:ext uri="{FF2B5EF4-FFF2-40B4-BE49-F238E27FC236}">
              <a16:creationId xmlns:a16="http://schemas.microsoft.com/office/drawing/2014/main" id="{00000000-0008-0000-0700-0000ECF25300}"/>
            </a:ext>
          </a:extLst>
        </xdr:cNvPr>
        <xdr:cNvSpPr>
          <a:spLocks noChangeShapeType="1"/>
        </xdr:cNvSpPr>
      </xdr:nvSpPr>
      <xdr:spPr bwMode="auto">
        <a:xfrm flipH="1" flipV="1">
          <a:off x="15868650" y="3282950"/>
          <a:ext cx="787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</xdr:spPr>
    </xdr:sp>
    <xdr:clientData/>
  </xdr:twoCellAnchor>
  <xdr:twoCellAnchor>
    <xdr:from>
      <xdr:col>15</xdr:col>
      <xdr:colOff>812800</xdr:colOff>
      <xdr:row>28</xdr:row>
      <xdr:rowOff>88900</xdr:rowOff>
    </xdr:from>
    <xdr:to>
      <xdr:col>16</xdr:col>
      <xdr:colOff>323850</xdr:colOff>
      <xdr:row>28</xdr:row>
      <xdr:rowOff>88900</xdr:rowOff>
    </xdr:to>
    <xdr:sp macro="" textlink="">
      <xdr:nvSpPr>
        <xdr:cNvPr id="5501677" name="Line 310">
          <a:extLst>
            <a:ext uri="{FF2B5EF4-FFF2-40B4-BE49-F238E27FC236}">
              <a16:creationId xmlns:a16="http://schemas.microsoft.com/office/drawing/2014/main" id="{00000000-0008-0000-0700-0000EDF25300}"/>
            </a:ext>
          </a:extLst>
        </xdr:cNvPr>
        <xdr:cNvSpPr>
          <a:spLocks noChangeShapeType="1"/>
        </xdr:cNvSpPr>
      </xdr:nvSpPr>
      <xdr:spPr bwMode="auto">
        <a:xfrm>
          <a:off x="12763500" y="48387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234950</xdr:colOff>
      <xdr:row>27</xdr:row>
      <xdr:rowOff>127000</xdr:rowOff>
    </xdr:from>
    <xdr:to>
      <xdr:col>17</xdr:col>
      <xdr:colOff>69850</xdr:colOff>
      <xdr:row>27</xdr:row>
      <xdr:rowOff>127000</xdr:rowOff>
    </xdr:to>
    <xdr:sp macro="" textlink="">
      <xdr:nvSpPr>
        <xdr:cNvPr id="5501678" name="Line 277">
          <a:extLst>
            <a:ext uri="{FF2B5EF4-FFF2-40B4-BE49-F238E27FC236}">
              <a16:creationId xmlns:a16="http://schemas.microsoft.com/office/drawing/2014/main" id="{00000000-0008-0000-0700-0000EEF25300}"/>
            </a:ext>
          </a:extLst>
        </xdr:cNvPr>
        <xdr:cNvSpPr>
          <a:spLocks noChangeShapeType="1"/>
        </xdr:cNvSpPr>
      </xdr:nvSpPr>
      <xdr:spPr bwMode="auto">
        <a:xfrm>
          <a:off x="12998450" y="4705350"/>
          <a:ext cx="647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412750</xdr:colOff>
      <xdr:row>28</xdr:row>
      <xdr:rowOff>127000</xdr:rowOff>
    </xdr:from>
    <xdr:to>
      <xdr:col>19</xdr:col>
      <xdr:colOff>82550</xdr:colOff>
      <xdr:row>28</xdr:row>
      <xdr:rowOff>127000</xdr:rowOff>
    </xdr:to>
    <xdr:sp macro="" textlink="">
      <xdr:nvSpPr>
        <xdr:cNvPr id="5501679" name="Line 280">
          <a:extLst>
            <a:ext uri="{FF2B5EF4-FFF2-40B4-BE49-F238E27FC236}">
              <a16:creationId xmlns:a16="http://schemas.microsoft.com/office/drawing/2014/main" id="{00000000-0008-0000-0700-0000EFF25300}"/>
            </a:ext>
          </a:extLst>
        </xdr:cNvPr>
        <xdr:cNvSpPr>
          <a:spLocks noChangeShapeType="1"/>
        </xdr:cNvSpPr>
      </xdr:nvSpPr>
      <xdr:spPr bwMode="auto">
        <a:xfrm flipV="1">
          <a:off x="13989050" y="4876800"/>
          <a:ext cx="19431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165100</xdr:colOff>
      <xdr:row>30</xdr:row>
      <xdr:rowOff>44450</xdr:rowOff>
    </xdr:from>
    <xdr:to>
      <xdr:col>18</xdr:col>
      <xdr:colOff>927100</xdr:colOff>
      <xdr:row>30</xdr:row>
      <xdr:rowOff>44450</xdr:rowOff>
    </xdr:to>
    <xdr:sp macro="" textlink="">
      <xdr:nvSpPr>
        <xdr:cNvPr id="5501680" name="Line 280">
          <a:extLst>
            <a:ext uri="{FF2B5EF4-FFF2-40B4-BE49-F238E27FC236}">
              <a16:creationId xmlns:a16="http://schemas.microsoft.com/office/drawing/2014/main" id="{00000000-0008-0000-0700-0000F0F25300}"/>
            </a:ext>
          </a:extLst>
        </xdr:cNvPr>
        <xdr:cNvSpPr>
          <a:spLocks noChangeShapeType="1"/>
        </xdr:cNvSpPr>
      </xdr:nvSpPr>
      <xdr:spPr bwMode="auto">
        <a:xfrm>
          <a:off x="14878050" y="513715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1047750</xdr:colOff>
      <xdr:row>20</xdr:row>
      <xdr:rowOff>0</xdr:rowOff>
    </xdr:from>
    <xdr:to>
      <xdr:col>18</xdr:col>
      <xdr:colOff>158750</xdr:colOff>
      <xdr:row>30</xdr:row>
      <xdr:rowOff>44450</xdr:rowOff>
    </xdr:to>
    <xdr:sp macro="" textlink="">
      <xdr:nvSpPr>
        <xdr:cNvPr id="5501681" name="Rectangle 139">
          <a:extLst>
            <a:ext uri="{FF2B5EF4-FFF2-40B4-BE49-F238E27FC236}">
              <a16:creationId xmlns:a16="http://schemas.microsoft.com/office/drawing/2014/main" id="{00000000-0008-0000-0700-0000F1F25300}"/>
            </a:ext>
          </a:extLst>
        </xdr:cNvPr>
        <xdr:cNvSpPr>
          <a:spLocks noChangeArrowheads="1"/>
        </xdr:cNvSpPr>
      </xdr:nvSpPr>
      <xdr:spPr bwMode="auto">
        <a:xfrm>
          <a:off x="14624050" y="3422650"/>
          <a:ext cx="247650" cy="17145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</xdr:spPr>
    </xdr:sp>
    <xdr:clientData/>
  </xdr:twoCellAnchor>
  <xdr:twoCellAnchor>
    <xdr:from>
      <xdr:col>18</xdr:col>
      <xdr:colOff>927100</xdr:colOff>
      <xdr:row>1</xdr:row>
      <xdr:rowOff>12700</xdr:rowOff>
    </xdr:from>
    <xdr:to>
      <xdr:col>18</xdr:col>
      <xdr:colOff>927100</xdr:colOff>
      <xdr:row>29</xdr:row>
      <xdr:rowOff>69850</xdr:rowOff>
    </xdr:to>
    <xdr:sp macro="" textlink="">
      <xdr:nvSpPr>
        <xdr:cNvPr id="5501682" name="Line 270">
          <a:extLst>
            <a:ext uri="{FF2B5EF4-FFF2-40B4-BE49-F238E27FC236}">
              <a16:creationId xmlns:a16="http://schemas.microsoft.com/office/drawing/2014/main" id="{00000000-0008-0000-0700-0000F2F25300}"/>
            </a:ext>
          </a:extLst>
        </xdr:cNvPr>
        <xdr:cNvSpPr>
          <a:spLocks noChangeShapeType="1"/>
        </xdr:cNvSpPr>
      </xdr:nvSpPr>
      <xdr:spPr bwMode="auto">
        <a:xfrm flipH="1">
          <a:off x="15640050" y="184150"/>
          <a:ext cx="0" cy="480695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  <xdr:twoCellAnchor>
    <xdr:from>
      <xdr:col>17</xdr:col>
      <xdr:colOff>12700</xdr:colOff>
      <xdr:row>33</xdr:row>
      <xdr:rowOff>95250</xdr:rowOff>
    </xdr:from>
    <xdr:to>
      <xdr:col>17</xdr:col>
      <xdr:colOff>520700</xdr:colOff>
      <xdr:row>33</xdr:row>
      <xdr:rowOff>95250</xdr:rowOff>
    </xdr:to>
    <xdr:sp macro="" textlink="">
      <xdr:nvSpPr>
        <xdr:cNvPr id="5501683" name="Line 301">
          <a:extLst>
            <a:ext uri="{FF2B5EF4-FFF2-40B4-BE49-F238E27FC236}">
              <a16:creationId xmlns:a16="http://schemas.microsoft.com/office/drawing/2014/main" id="{00000000-0008-0000-0700-0000F3F25300}"/>
            </a:ext>
          </a:extLst>
        </xdr:cNvPr>
        <xdr:cNvSpPr>
          <a:spLocks noChangeShapeType="1"/>
        </xdr:cNvSpPr>
      </xdr:nvSpPr>
      <xdr:spPr bwMode="auto">
        <a:xfrm>
          <a:off x="13589000" y="5702300"/>
          <a:ext cx="5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787400</xdr:colOff>
      <xdr:row>1</xdr:row>
      <xdr:rowOff>19050</xdr:rowOff>
    </xdr:from>
    <xdr:to>
      <xdr:col>18</xdr:col>
      <xdr:colOff>787400</xdr:colOff>
      <xdr:row>30</xdr:row>
      <xdr:rowOff>38100</xdr:rowOff>
    </xdr:to>
    <xdr:sp macro="" textlink="">
      <xdr:nvSpPr>
        <xdr:cNvPr id="5501684" name="Line 270">
          <a:extLst>
            <a:ext uri="{FF2B5EF4-FFF2-40B4-BE49-F238E27FC236}">
              <a16:creationId xmlns:a16="http://schemas.microsoft.com/office/drawing/2014/main" id="{00000000-0008-0000-0700-0000F4F25300}"/>
            </a:ext>
          </a:extLst>
        </xdr:cNvPr>
        <xdr:cNvSpPr>
          <a:spLocks noChangeShapeType="1"/>
        </xdr:cNvSpPr>
      </xdr:nvSpPr>
      <xdr:spPr bwMode="auto">
        <a:xfrm>
          <a:off x="15500350" y="190500"/>
          <a:ext cx="0" cy="49403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omments" Target="../comments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9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planete-sciences.org/espace/basedoc/" TargetMode="External"/><Relationship Id="rId1" Type="http://schemas.openxmlformats.org/officeDocument/2006/relationships/hyperlink" Target="http://en.wikipedia.org/wiki/Template:Numerical_integrator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pageSetUpPr fitToPage="1"/>
  </sheetPr>
  <dimension ref="A1:W361"/>
  <sheetViews>
    <sheetView showGridLines="0" tabSelected="1" zoomScale="85" zoomScaleNormal="85" zoomScaleSheetLayoutView="100" workbookViewId="0">
      <selection activeCell="D51" sqref="D51"/>
    </sheetView>
  </sheetViews>
  <sheetFormatPr baseColWidth="10" defaultColWidth="11.425781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42578125" style="26" customWidth="1"/>
    <col min="10" max="10" width="5.42578125" style="24" customWidth="1"/>
    <col min="11" max="11" width="2.140625" style="24" customWidth="1"/>
    <col min="12" max="12" width="17" style="24" customWidth="1"/>
    <col min="13" max="13" width="8.42578125" style="24" customWidth="1"/>
    <col min="14" max="15" width="4.28515625" style="24" customWidth="1"/>
    <col min="16" max="16" width="8.42578125" style="24" customWidth="1"/>
    <col min="17" max="18" width="2.140625" style="24" customWidth="1"/>
    <col min="19" max="16384" width="11.425781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63" t="s">
        <v>54</v>
      </c>
      <c r="D2" s="563"/>
      <c r="L2" s="147" t="str">
        <f>"Language/Langue"</f>
        <v>Language/Langue</v>
      </c>
      <c r="M2" s="539" t="s">
        <v>1</v>
      </c>
      <c r="N2" s="539"/>
      <c r="O2" s="539"/>
      <c r="P2" s="540"/>
      <c r="Q2" s="27"/>
    </row>
    <row r="3" spans="1:20" ht="12.75" customHeight="1" x14ac:dyDescent="0.2">
      <c r="A3" s="25"/>
      <c r="C3" s="563"/>
      <c r="D3" s="563"/>
      <c r="L3" s="550"/>
      <c r="M3" s="550"/>
      <c r="N3" s="45"/>
      <c r="Q3" s="27"/>
    </row>
    <row r="4" spans="1:20" ht="12.75" customHeight="1" x14ac:dyDescent="0.2">
      <c r="A4" s="25"/>
      <c r="C4" s="564" t="str">
        <f>IF(Lang="Français","Stabilité de fusée à ailerons",IF(Lang="English","Stability for rocket with fins",""))</f>
        <v>Stabilité de fusée à ailerons</v>
      </c>
      <c r="D4" s="564"/>
      <c r="L4" s="33"/>
      <c r="M4" s="539" t="s">
        <v>557</v>
      </c>
      <c r="N4" s="539"/>
      <c r="O4" s="539"/>
      <c r="P4" s="540"/>
      <c r="Q4" s="27"/>
    </row>
    <row r="5" spans="1:20" ht="12.75" customHeight="1" x14ac:dyDescent="0.25">
      <c r="A5" s="25"/>
      <c r="B5" s="28"/>
      <c r="C5" s="578"/>
      <c r="D5" s="578"/>
      <c r="L5" s="33"/>
      <c r="M5" s="570" t="s">
        <v>157</v>
      </c>
      <c r="N5" s="571"/>
      <c r="O5" s="553" t="s">
        <v>158</v>
      </c>
      <c r="P5" s="553"/>
      <c r="Q5" s="29"/>
    </row>
    <row r="6" spans="1:20" ht="12.75" customHeight="1" thickBot="1" x14ac:dyDescent="0.25">
      <c r="A6" s="25"/>
      <c r="B6" s="87"/>
      <c r="C6" s="588" t="str">
        <f>IF(Lang="Français","Remplir les cases jaunes",IF(Lang="English","Fill-in yellow cells only",""))</f>
        <v>Remplir les cases jaunes</v>
      </c>
      <c r="D6" s="588"/>
      <c r="L6" s="139" t="str">
        <f>IF(Lang="Français","Longueur      'L'",IF(Lang="English","Length      'L'",""))</f>
        <v>Longueur      'L'</v>
      </c>
      <c r="M6" s="559">
        <v>50</v>
      </c>
      <c r="N6" s="560"/>
      <c r="O6" s="545">
        <v>50</v>
      </c>
      <c r="P6" s="545"/>
      <c r="Q6" s="29"/>
    </row>
    <row r="7" spans="1:20" ht="12.75" customHeight="1" thickTop="1" thickBot="1" x14ac:dyDescent="0.25">
      <c r="A7" s="25"/>
      <c r="B7" s="31"/>
      <c r="C7" s="566" t="str">
        <f>IF(Lang="Français","Fusée",IF(Lang="English","Rocket",""))</f>
        <v>Fusée</v>
      </c>
      <c r="D7" s="567"/>
      <c r="L7" s="139" t="str">
        <f>IF(Lang="Français","Diamètre     'D1'",IF(Lang="English","Diameter 'D1'",""))</f>
        <v>Diamètre     'D1'</v>
      </c>
      <c r="M7" s="559">
        <f>D_og</f>
        <v>84</v>
      </c>
      <c r="N7" s="560"/>
      <c r="O7" s="545">
        <f>D_og</f>
        <v>84</v>
      </c>
      <c r="P7" s="545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89" t="s">
        <v>558</v>
      </c>
      <c r="D8" s="589"/>
      <c r="E8" s="90"/>
      <c r="K8" s="33"/>
      <c r="L8" s="139" t="str">
        <f>IF(Lang="Français","Diamètre     'D2'",IF(Lang="English","Diameter 'D2'",""))</f>
        <v>Diamètre     'D2'</v>
      </c>
      <c r="M8" s="559">
        <v>64</v>
      </c>
      <c r="N8" s="560"/>
      <c r="O8" s="545">
        <v>45</v>
      </c>
      <c r="P8" s="545"/>
      <c r="Q8" s="29"/>
    </row>
    <row r="9" spans="1:20" ht="12.75" customHeight="1" x14ac:dyDescent="0.2">
      <c r="A9" s="25"/>
      <c r="B9" s="138" t="s">
        <v>4</v>
      </c>
      <c r="C9" s="590" t="s">
        <v>559</v>
      </c>
      <c r="D9" s="590"/>
      <c r="E9" s="90"/>
      <c r="K9" s="33"/>
      <c r="L9" s="139" t="str">
        <f>IF(Lang="Français","Implantation 'x'",IF(Lang="English","Basement 'x'",""))</f>
        <v>Implantation 'x'</v>
      </c>
      <c r="M9" s="559">
        <v>500</v>
      </c>
      <c r="N9" s="560"/>
      <c r="O9" s="545">
        <f>XpropuRef-l_r</f>
        <v>857</v>
      </c>
      <c r="P9" s="545"/>
      <c r="Q9" s="29"/>
    </row>
    <row r="10" spans="1:20" ht="12.75" customHeight="1" x14ac:dyDescent="0.2">
      <c r="A10" s="25"/>
      <c r="B10" s="139" t="s">
        <v>55</v>
      </c>
      <c r="C10" s="568" t="s">
        <v>553</v>
      </c>
      <c r="D10" s="569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1700</v>
      </c>
      <c r="D11" s="34" t="s">
        <v>423</v>
      </c>
      <c r="E11" s="90"/>
      <c r="K11" s="33"/>
      <c r="L11" s="107"/>
      <c r="M11" s="224" t="str">
        <f>IF(Lang="Français","Propu plein",IF(Lang="English","Loaded Motor",""))</f>
        <v>Propu plein</v>
      </c>
      <c r="N11" s="551" t="str">
        <f>IF(Lang="Français","Propu vide",IF(Lang="English","Empty Motor",""))</f>
        <v>Propu vide</v>
      </c>
      <c r="O11" s="552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610</v>
      </c>
      <c r="D12" s="34" t="s">
        <v>423</v>
      </c>
      <c r="L12" s="108" t="str">
        <f>IF(Lang="Français","Masse propu",IF(Lang="English","Motor Mass",""))</f>
        <v>Masse propu</v>
      </c>
      <c r="M12" s="109">
        <f ca="1">MpropuPlein</f>
        <v>0.15989999999999999</v>
      </c>
      <c r="N12" s="543">
        <f ca="1">MpropuVide</f>
        <v>8.43E-2</v>
      </c>
      <c r="O12" s="544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679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59">
        <f>1992-1035</f>
        <v>957</v>
      </c>
      <c r="D13" s="560"/>
      <c r="L13" s="108" t="str">
        <f>IF(Lang="Français","CdM propu",IF(Lang="English","Motor CoM",""))</f>
        <v>CdM propu</v>
      </c>
      <c r="M13" s="111">
        <f ca="1">XpropuPlein</f>
        <v>114</v>
      </c>
      <c r="N13" s="541">
        <f ca="1">XpropuVide</f>
        <v>114</v>
      </c>
      <c r="O13" s="542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228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59">
        <f>D_og</f>
        <v>84</v>
      </c>
      <c r="D14" s="560"/>
      <c r="L14" s="108" t="str">
        <f>IF(Lang="Français","Masse fusée",IF(Lang="English","Rocket Mass",""))</f>
        <v>Masse fusée</v>
      </c>
      <c r="M14" s="112">
        <f ca="1">MasseSans+MpropuPlein</f>
        <v>1.8598999999999999</v>
      </c>
      <c r="N14" s="572">
        <f ca="1">MasseSans+MpropuVide</f>
        <v>1.7843</v>
      </c>
      <c r="O14" s="573"/>
      <c r="P14" s="109">
        <f>IF(OR(D11="sans propu",D11="without motor"),C11/1000,IF(OR(D11="avec propu vide",D11="with empty motor"),C11/1000-MpropuVide,IF(OR(D11="avec propu plein",D11="with loaded motor"),C11/1000-MpropuPlein,"Erreur")))</f>
        <v>1.7</v>
      </c>
      <c r="Q14" s="29"/>
      <c r="S14" s="386" t="str">
        <f>IF(Lang="Français","Bas",IF(Lang="English","Base",""))</f>
        <v>Bas</v>
      </c>
      <c r="T14" s="387">
        <f>XpropuRef</f>
        <v>907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625.73294263132436</v>
      </c>
      <c r="N15" s="574">
        <f ca="1">(XcgSans*MasseSans+(XpropuRef-Long_propu+XpropuVide)*MpropuVide)/MasseVide</f>
        <v>618.64591156195706</v>
      </c>
      <c r="O15" s="575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610</v>
      </c>
      <c r="Q15" s="29"/>
    </row>
    <row r="16" spans="1:20" ht="12.75" customHeight="1" thickTop="1" thickBot="1" x14ac:dyDescent="0.25">
      <c r="A16" s="25"/>
      <c r="C16" s="580" t="str">
        <f>IF(Lang="Français","Propulseur",IF(Lang="English","Motor",""))</f>
        <v>Propulseur</v>
      </c>
      <c r="D16" s="581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55</v>
      </c>
      <c r="C17" s="582" t="s">
        <v>549</v>
      </c>
      <c r="D17" s="583"/>
      <c r="L17" s="114"/>
      <c r="M17" s="576" t="s">
        <v>56</v>
      </c>
      <c r="N17" s="577"/>
      <c r="O17" s="554" t="s">
        <v>66</v>
      </c>
      <c r="P17" s="554"/>
      <c r="Q17" s="29"/>
      <c r="S17" s="386" t="str">
        <f>IF(Lang="Français","Haut","Top")</f>
        <v>Haut</v>
      </c>
      <c r="T17" s="387">
        <f>X_ail-m_ail</f>
        <v>767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45">
        <f>Long_tot-50</f>
        <v>907</v>
      </c>
      <c r="D18" s="545"/>
      <c r="K18" s="37"/>
      <c r="L18" s="108" t="str">
        <f>IF(Lang="Français","Coiffe",IF(Lang="English","Nose Cone",""))</f>
        <v>Coiffe</v>
      </c>
      <c r="M18" s="548">
        <f>IF(LEFT(Forme_ogive,5)="Parab",1/2*Long_ogive,IF(LEFT(Forme_ogive,4)="Ogiv",7/15*Long_ogive,IF(LEFT(Forme_ogive,3)="Con",2/3*Long_ogive)))</f>
        <v>183.33333333333331</v>
      </c>
      <c r="N18" s="549"/>
      <c r="O18" s="555">
        <f>2*POWER(D_og/D_ref, 2)</f>
        <v>2</v>
      </c>
      <c r="P18" s="555"/>
      <c r="Q18" s="29"/>
      <c r="S18" s="386" t="str">
        <f>IF(Lang="Français","Emplanture","Root edge")</f>
        <v>Emplanture</v>
      </c>
      <c r="T18" s="387">
        <f>m_ail</f>
        <v>190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58" t="str">
        <f>IF(Propu="Pandora (Pro24-6G)",IF(Lang="Français","C'Space Seulement",IF(Lang="English","C'Space only","")),"")</f>
        <v/>
      </c>
      <c r="D19" s="558"/>
      <c r="L19" s="108" t="str">
        <f>IF(Lang="Français","Ailerons",IF(Lang="English","Fins",""))</f>
        <v>Ailerons</v>
      </c>
      <c r="M19" s="548">
        <f>(XCpa*Cnail-0.5*XCpi*Cni)/Cnai</f>
        <v>880.39506172839515</v>
      </c>
      <c r="N19" s="549"/>
      <c r="O19" s="584">
        <f>Cnail-Cni/2</f>
        <v>13.399580575759524</v>
      </c>
      <c r="P19" s="585"/>
      <c r="Q19" s="29"/>
      <c r="S19" s="386" t="str">
        <f>IF(Lang="Français","Bas","Base")</f>
        <v>Bas</v>
      </c>
      <c r="T19" s="387">
        <f>X_ail</f>
        <v>957</v>
      </c>
    </row>
    <row r="20" spans="1:20" ht="12.75" customHeight="1" thickTop="1" thickBot="1" x14ac:dyDescent="0.25">
      <c r="A20" s="25"/>
      <c r="B20" s="30"/>
      <c r="C20" s="586" t="str">
        <f>IF(Lang="Français","Coiffe",IF(Lang="English","Nose Cone",""))</f>
        <v>Coiffe</v>
      </c>
      <c r="D20" s="587"/>
      <c r="L20" s="108" t="str">
        <f>IF(Lang="Français","Ail bas entier",IF(Lang="English","Total Lower Fins",""))</f>
        <v>Ail bas entier</v>
      </c>
      <c r="M20" s="548">
        <f>X_ail-m_ail+p_ail*(m_ail+2*n_ail)/(3*(m_ail+n_ail))+(m_ail+n_ail-m_ail*n_ail/(m_ail+n_ail))/6</f>
        <v>880.39506172839515</v>
      </c>
      <c r="N20" s="549"/>
      <c r="O20" s="555">
        <f>4*Q_ail*POWER((E_ail/D_ref),2)*(1+D_ail/(2*E_ail+D_ail))/(1+SQRT(1+POWER(2*f_ail/(m_ail+n_ail),2)))</f>
        <v>13.399580575759524</v>
      </c>
      <c r="P20" s="555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1" t="s">
        <v>556</v>
      </c>
      <c r="D21" s="562"/>
      <c r="L21" s="108" t="str">
        <f>IF(Lang="Français","Ailerons haut",IF(Lang="English","Upper Fins",""))</f>
        <v>Ailerons haut</v>
      </c>
      <c r="M21" s="548">
        <f>IF(LEFT(Type_masquage,1)="M",0, X_can-m_can+p_can*(m_can+2*n_can)/(3*(m_can+n_can))+(m_can+n_can-m_can*n_can/(m_can+n_can))/6)</f>
        <v>0</v>
      </c>
      <c r="N21" s="549"/>
      <c r="O21" s="555">
        <f>IF(LEFT(Type_masquage,1)="M",0, 4*Q_can*POWER((E_can/D_ref),2)*(1+D_can/(2*E_can+D_can))/(1+SQRT(1+POWER(2*f_can/(m_can+n_can),2))))</f>
        <v>0</v>
      </c>
      <c r="P21" s="555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59">
        <v>275</v>
      </c>
      <c r="D22" s="560"/>
      <c r="L22" s="108" t="str">
        <f>IF(Lang="Français","Partie masquée",IF(Lang="English","Interation zone",""))</f>
        <v>Partie masquée</v>
      </c>
      <c r="M22" s="565">
        <f>IF(LEFT(Type_masquage,1)="B", X_int-m_int+p_int*(m_int+2*n_int)/(3*(m_int+n_int))+(m_int+n_int-m_int*n_int/(m_int+n_int))/6, 0 )</f>
        <v>0</v>
      </c>
      <c r="N22" s="565"/>
      <c r="O22" s="584">
        <f>IF(LEFT(Type_masquage,1)="B", 4*Q_int*POWER((E_int/D_ref),2)*(1+D_int/(2*E_int+D_int))/(1+SQRT(1+POWER(2*f_int/(m_int+n_int),2))), 0 )</f>
        <v>0</v>
      </c>
      <c r="P22" s="585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59">
        <v>84</v>
      </c>
      <c r="D23" s="560"/>
      <c r="L23" s="108" t="s">
        <v>157</v>
      </c>
      <c r="M23" s="548">
        <f>IF(OR(RIGHT(Nb_diam,1)=",",D2j=0),0, X_j+l_j/3*(1+1/(1+D1j/D2j)) )</f>
        <v>0</v>
      </c>
      <c r="N23" s="549"/>
      <c r="O23" s="555">
        <f>IF(OR(RIGHT(Nb_diam,1)=",",D2j=0),0,2*(POWER(D2j/D_ref,2)-POWER(D1j/D_ref,2)))</f>
        <v>0</v>
      </c>
      <c r="P23" s="555"/>
      <c r="Q23" s="29"/>
    </row>
    <row r="24" spans="1:20" ht="12.75" customHeight="1" thickBot="1" x14ac:dyDescent="0.25">
      <c r="A24" s="25"/>
      <c r="L24" s="108" t="s">
        <v>158</v>
      </c>
      <c r="M24" s="548">
        <f>IF( OR(RIGHT(Nb_diam,1)=",",D2r=0), 0, X_r+l_r/3*(1+1/(1+D1r/D2r)) )</f>
        <v>0</v>
      </c>
      <c r="N24" s="549"/>
      <c r="O24" s="555">
        <f>IF( OR(RIGHT(Nb_diam,1)=",",D2r=0), 0, 2*(POWER(D2r/D_ref,2)-POWER(D1r/D_ref,2)) )</f>
        <v>0</v>
      </c>
      <c r="P24" s="555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</v>
      </c>
      <c r="D25" s="179" t="str">
        <f>IF(Lang="Français","Ailerons haut",IF(Lang="English","Upper Fins",""))</f>
        <v>Ailerons haut</v>
      </c>
      <c r="E25" s="180" t="s">
        <v>152</v>
      </c>
      <c r="L25" s="38"/>
      <c r="M25" s="38"/>
      <c r="N25" s="38"/>
      <c r="Q25" s="29"/>
      <c r="R25" s="38"/>
      <c r="S25" s="388" t="str">
        <f ca="1">IF(AND(Portee_balistique&gt;200,LEFT(Type_propu,3)="Min"),IF(Lang="Français","Fusée trop lègère !","Rocket too light"),"")</f>
        <v>Fusée trop lègère !</v>
      </c>
    </row>
    <row r="26" spans="1:20" ht="12.75" customHeight="1" thickTop="1" x14ac:dyDescent="0.2">
      <c r="A26" s="25"/>
      <c r="B26" s="30"/>
      <c r="C26" s="556" t="s">
        <v>424</v>
      </c>
      <c r="D26" s="557"/>
      <c r="F26" s="39">
        <f ca="1">TODAY()</f>
        <v>45851</v>
      </c>
      <c r="G26" s="137" t="s">
        <v>63</v>
      </c>
      <c r="H26" s="579" t="str">
        <f>IF(Lang="Français","Résultats",IF(Lang="English","Results",""))</f>
        <v>Résultats</v>
      </c>
      <c r="I26" s="579"/>
      <c r="J26" s="137" t="s">
        <v>64</v>
      </c>
      <c r="K26" s="32"/>
      <c r="L26" s="38"/>
      <c r="M26" s="38"/>
      <c r="N26" s="38"/>
      <c r="Q26" s="29"/>
      <c r="R26" s="38"/>
      <c r="S26" s="388" t="e">
        <f ca="1">IF(AND(Vsortie_de_rampe&lt;18, OR(LEFT(Type_fusee,1)=",",LEFT(Type_fusee,4)="Mini",LEFT(Type_fusee,1)="R")),IF(Lang="Français","Fusée trop lourde ou rampe trop courte !","Rocket too heavy or launch pad too small!"),"")</f>
        <v>#N/A</v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190</v>
      </c>
      <c r="D27" s="177">
        <v>70</v>
      </c>
      <c r="E27" s="146">
        <f>m_ail</f>
        <v>190</v>
      </c>
      <c r="F27" s="105" t="s">
        <v>65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46">
        <f>Long_tot/D_ref</f>
        <v>11.392857142857142</v>
      </c>
      <c r="I27" s="547"/>
      <c r="J27" s="104">
        <f>IF(RIGHT(Type_fusee,1)=".",35, IF(OR(LEFT(Type_fusee,1)="R",LEFT(Type_fusee,1)=",",LEFT(Type_fusee,4)="Mini"),20, IF(LEFT(Type_fusee,5)="Micro",30, IF(RIGHT(Type_fusee,1)=" ",100))))</f>
        <v>20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80</v>
      </c>
      <c r="D28" s="35">
        <v>10</v>
      </c>
      <c r="E28" s="146">
        <f>n_ail+(m_ail-n_ail)*(1-E_int/E_ail)</f>
        <v>147.69230769230768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15.399580575759524</v>
      </c>
      <c r="I28" s="510">
        <f>Cnail+Cnc+Cno+Cnj+Cnr</f>
        <v>15.399580575759524</v>
      </c>
      <c r="J28" s="104">
        <f>IF(RIGHT(Type_fusee,1)=".",40, IF(OR(LEFT(Type_fusee,1)="R",LEFT(Type_fusee,1)=",",LEFT(Type_fusee,4)="Mini"),30, IF(LEFT(Type_fusee,5)="Micro",30, IF(RIGHT(Type_fusee,1)=" ",30))))</f>
        <v>30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180</v>
      </c>
      <c r="D29" s="35">
        <v>40</v>
      </c>
      <c r="E29" s="146">
        <f>p_ail*E_int/E_ail</f>
        <v>69.230769230769226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1.5</v>
      </c>
      <c r="H29" s="97">
        <f ca="1">(XCp-XcgPlein)/D_ref</f>
        <v>1.953954241530516</v>
      </c>
      <c r="I29" s="98">
        <f ca="1">(XCp0-XcgVide)/D_ref</f>
        <v>2.0383236590229838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130</v>
      </c>
      <c r="D30" s="35">
        <v>50</v>
      </c>
      <c r="E30" s="146">
        <f>IF(D_can/2+E_can&lt;=D_ail/2,0, IF(D_can/2+E_can&gt;=D_ail/2+E_ail,E_ail,  D_can/2+E_can - D_ail/2  ) )</f>
        <v>50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30</v>
      </c>
      <c r="H30" s="99">
        <f ca="1">MS_min*Cn</f>
        <v>30.090075783796266</v>
      </c>
      <c r="I30" s="96">
        <f ca="1">MS_max*Cn0</f>
        <v>31.389329426601421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3</v>
      </c>
      <c r="D31" s="35">
        <v>2</v>
      </c>
      <c r="E31" s="146">
        <f>ep_ail</f>
        <v>3</v>
      </c>
      <c r="F31" s="106" t="s">
        <v>56</v>
      </c>
      <c r="G31" s="103"/>
      <c r="H31" s="511">
        <f>(Cnai*XCpai+Cnc*XCpc+Cnj*XCpj+Cnr*XCpr+Cno*XCpo)/(Cnai+Cnc+Cnr+Cnj+Cno)</f>
        <v>789.86509891988771</v>
      </c>
      <c r="I31" s="511">
        <f>(Cnail*XCpa+Cnc*XCpc+Cnj*XCpj+Cnr*XCpr+Cno*XCpo)/(Cnail+Cnc+Cnr+Cnj+Cno)</f>
        <v>789.86509891988771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3</v>
      </c>
      <c r="D32" s="36">
        <v>4</v>
      </c>
      <c r="E32" s="146" t="b">
        <f>IF(Q_ail=Q_can,Q_ail,FALSE)</f>
        <v>0</v>
      </c>
      <c r="F32" s="106" t="s">
        <v>67</v>
      </c>
      <c r="G32" s="103"/>
      <c r="H32" s="100">
        <f ca="1">(XCp-XcgPlein)/Long_tot*100</f>
        <v>17.150695536944969</v>
      </c>
      <c r="I32" s="101">
        <f ca="1">(XCp-XcgVide)/Long_tot*100</f>
        <v>17.891242148164121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</f>
        <v>957</v>
      </c>
      <c r="D33" s="35">
        <v>700</v>
      </c>
      <c r="E33" s="146">
        <f>X_ail</f>
        <v>957</v>
      </c>
      <c r="G33" s="24"/>
      <c r="H33" s="535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36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f>D_ref</f>
        <v>84</v>
      </c>
      <c r="D34" s="35">
        <f>D_ref</f>
        <v>84</v>
      </c>
      <c r="E34" s="146">
        <f>D_ail</f>
        <v>84</v>
      </c>
      <c r="G34" s="24"/>
      <c r="H34" s="537"/>
      <c r="I34" s="538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180.34688796871433</v>
      </c>
      <c r="D35" s="145">
        <f>SQRT(POWER(p_can+n_can/2-m_can/2,2)+POWER(E_can,2))</f>
        <v>50.990195135927848</v>
      </c>
      <c r="E35" s="146">
        <f>SQRT(POWER(p_int+n_int/2-m_int/2,2)+POWER(E_int,2))</f>
        <v>69.364187680274739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269</v>
      </c>
      <c r="M36" s="392" t="str">
        <f>IF(ROUND(SUM(Propu!5:1228),0)=395253,"propu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544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181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68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397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398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424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425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69</v>
      </c>
      <c r="D123" s="45" t="s">
        <v>70</v>
      </c>
      <c r="E123" s="92" t="s">
        <v>71</v>
      </c>
      <c r="K123" s="45"/>
      <c r="R123" s="43"/>
    </row>
    <row r="124" spans="2:18" x14ac:dyDescent="0.2">
      <c r="B124" s="45" t="s">
        <v>73</v>
      </c>
      <c r="C124" s="46">
        <f>-Long_ogive</f>
        <v>-275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73</v>
      </c>
      <c r="C125" s="46">
        <f>-Long_ogive</f>
        <v>-275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74</v>
      </c>
      <c r="C126" s="46">
        <f>IF(AND(RIGHT(Nb_diam,1)=".",X_j), -X_j, C125 )</f>
        <v>-275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75</v>
      </c>
      <c r="C127" s="46">
        <f>IF(AND(RIGHT(Nb_diam,1)=".",X_j), -X_j-l_j, C126 )</f>
        <v>-275</v>
      </c>
      <c r="D127" s="46">
        <f>IF(AND(RIGHT(Nb_diam,1)=".",X_j), D2j/2, D126 )</f>
        <v>42</v>
      </c>
      <c r="E127" s="93">
        <f t="shared" si="0"/>
        <v>-42</v>
      </c>
      <c r="K127" s="46"/>
    </row>
    <row r="128" spans="2:18" x14ac:dyDescent="0.2">
      <c r="B128" s="45" t="s">
        <v>76</v>
      </c>
      <c r="C128" s="46">
        <f>IF(AND(RIGHT(Nb_diam,1)=".",X_r), -X_r, C127 )</f>
        <v>-275</v>
      </c>
      <c r="D128" s="46">
        <f>IF(AND(RIGHT(Nb_diam,1)=".",X_r), D1r/2, D127 )</f>
        <v>42</v>
      </c>
      <c r="E128" s="93">
        <f t="shared" si="0"/>
        <v>-42</v>
      </c>
      <c r="K128" s="46"/>
    </row>
    <row r="129" spans="2:11" x14ac:dyDescent="0.2">
      <c r="B129" s="45" t="s">
        <v>77</v>
      </c>
      <c r="C129" s="46">
        <f>IF(AND(RIGHT(Nb_diam,1)=".",X_r), -X_r-l_r, C128 )</f>
        <v>-275</v>
      </c>
      <c r="D129" s="46">
        <f>IF(AND(RIGHT(Nb_diam,1)=".",X_r), D2r/2, D128 )</f>
        <v>42</v>
      </c>
      <c r="E129" s="93">
        <f t="shared" si="0"/>
        <v>-42</v>
      </c>
      <c r="K129" s="46"/>
    </row>
    <row r="130" spans="2:11" x14ac:dyDescent="0.2">
      <c r="B130" s="45" t="s">
        <v>78</v>
      </c>
      <c r="C130" s="46">
        <f>-Long_tot</f>
        <v>-957</v>
      </c>
      <c r="D130" s="46">
        <f>D129</f>
        <v>42</v>
      </c>
      <c r="E130" s="93">
        <f t="shared" si="0"/>
        <v>-42</v>
      </c>
      <c r="K130" s="46"/>
    </row>
    <row r="131" spans="2:11" x14ac:dyDescent="0.2">
      <c r="B131" s="45" t="s">
        <v>78</v>
      </c>
      <c r="C131" s="46">
        <f>-Long_tot</f>
        <v>-957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79</v>
      </c>
      <c r="C132" s="197">
        <f>-X_ail+m_ail</f>
        <v>-767</v>
      </c>
      <c r="D132" s="197">
        <f>D_ail/2</f>
        <v>42</v>
      </c>
      <c r="E132" s="198">
        <f t="shared" si="0"/>
        <v>-42</v>
      </c>
      <c r="K132" s="46"/>
    </row>
    <row r="133" spans="2:11" x14ac:dyDescent="0.2">
      <c r="B133" s="185" t="s">
        <v>80</v>
      </c>
      <c r="C133" s="46">
        <f>-X_ail+m_ail-p_ail</f>
        <v>-947</v>
      </c>
      <c r="D133" s="46">
        <f>D_ail/2+E_ail</f>
        <v>172</v>
      </c>
      <c r="E133" s="199">
        <f t="shared" si="0"/>
        <v>-172</v>
      </c>
      <c r="K133" s="46"/>
    </row>
    <row r="134" spans="2:11" x14ac:dyDescent="0.2">
      <c r="B134" s="185" t="s">
        <v>81</v>
      </c>
      <c r="C134" s="46">
        <f>-X_ail+m_ail-p_ail-n_ail</f>
        <v>-1027</v>
      </c>
      <c r="D134" s="46">
        <f>D_ail/2+E_ail</f>
        <v>172</v>
      </c>
      <c r="E134" s="199">
        <f t="shared" si="0"/>
        <v>-172</v>
      </c>
      <c r="K134" s="46"/>
    </row>
    <row r="135" spans="2:11" x14ac:dyDescent="0.2">
      <c r="B135" s="185" t="s">
        <v>82</v>
      </c>
      <c r="C135" s="46">
        <f>-X_ail</f>
        <v>-957</v>
      </c>
      <c r="D135" s="46">
        <f>D_ail/2</f>
        <v>42</v>
      </c>
      <c r="E135" s="199">
        <f t="shared" si="0"/>
        <v>-42</v>
      </c>
      <c r="K135" s="46"/>
    </row>
    <row r="136" spans="2:11" x14ac:dyDescent="0.2">
      <c r="B136" s="187" t="s">
        <v>79</v>
      </c>
      <c r="C136" s="200">
        <f>-X_ail+m_ail</f>
        <v>-767</v>
      </c>
      <c r="D136" s="200">
        <f>D_ail/2</f>
        <v>42</v>
      </c>
      <c r="E136" s="201">
        <f t="shared" si="0"/>
        <v>-42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-1058.9000000000001</v>
      </c>
      <c r="D137" s="207">
        <f>-D_ail/2-E_ail</f>
        <v>-172</v>
      </c>
      <c r="E137" s="93"/>
      <c r="K137" s="46"/>
    </row>
    <row r="138" spans="2:11" x14ac:dyDescent="0.2">
      <c r="B138" s="195" t="s">
        <v>167</v>
      </c>
      <c r="C138" s="46">
        <f>MIN(-X_ail,-X_ail+m_ail-p_ail-n_ail)-Long_tot/30</f>
        <v>-1058.9000000000001</v>
      </c>
      <c r="D138" s="208">
        <f>-D_ail/2-E_ail/2</f>
        <v>-107</v>
      </c>
      <c r="E138" s="93"/>
      <c r="K138" s="46"/>
    </row>
    <row r="139" spans="2:11" x14ac:dyDescent="0.2">
      <c r="B139" s="212" t="s">
        <v>163</v>
      </c>
      <c r="C139" s="200">
        <f>MIN(-X_ail,-X_ail+m_ail-p_ail-n_ail)-Long_tot/30</f>
        <v>-1058.9000000000001</v>
      </c>
      <c r="D139" s="209">
        <f>-D_ail/2</f>
        <v>-42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-767</v>
      </c>
      <c r="D140" s="207">
        <f>D_ail/2+E_ail+Long_tot/20</f>
        <v>219.85</v>
      </c>
      <c r="E140" s="93"/>
      <c r="K140" s="46"/>
    </row>
    <row r="141" spans="2:11" x14ac:dyDescent="0.2">
      <c r="B141" s="195" t="s">
        <v>169</v>
      </c>
      <c r="C141" s="46">
        <f>-X_ail+m_ail/2</f>
        <v>-862</v>
      </c>
      <c r="D141" s="208">
        <f>D_ail/2+E_ail+Long_tot/20</f>
        <v>219.85</v>
      </c>
      <c r="E141" s="93"/>
      <c r="K141" s="46"/>
    </row>
    <row r="142" spans="2:11" x14ac:dyDescent="0.2">
      <c r="B142" s="212" t="s">
        <v>170</v>
      </c>
      <c r="C142" s="200">
        <f>-X_ail</f>
        <v>-957</v>
      </c>
      <c r="D142" s="209">
        <f>D_ail/2+E_ail+Long_tot/20</f>
        <v>219.85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-767</v>
      </c>
      <c r="D143" s="207">
        <f>-D_ail/2-E_ail-Long_tot/30</f>
        <v>-203.9</v>
      </c>
      <c r="E143" s="93"/>
      <c r="K143" s="46"/>
    </row>
    <row r="144" spans="2:11" x14ac:dyDescent="0.2">
      <c r="B144" s="195" t="s">
        <v>166</v>
      </c>
      <c r="C144" s="46">
        <f>-X_ail+m_ail-p_ail/2</f>
        <v>-857</v>
      </c>
      <c r="D144" s="208">
        <f>-D_ail/2-E_ail-Long_tot/30</f>
        <v>-203.9</v>
      </c>
      <c r="E144" s="93"/>
      <c r="K144" s="46"/>
    </row>
    <row r="145" spans="2:11" x14ac:dyDescent="0.2">
      <c r="B145" s="212" t="s">
        <v>164</v>
      </c>
      <c r="C145" s="200">
        <f>-X_ail+m_ail-p_ail</f>
        <v>-947</v>
      </c>
      <c r="D145" s="209">
        <f>-D_ail/2-E_ail-Long_tot/30</f>
        <v>-203.9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-947</v>
      </c>
      <c r="D146" s="207">
        <f>-D_ail/2-E_ail-Long_tot/20</f>
        <v>-219.85</v>
      </c>
      <c r="E146" s="93"/>
      <c r="K146" s="46"/>
    </row>
    <row r="147" spans="2:11" x14ac:dyDescent="0.2">
      <c r="B147" s="195" t="s">
        <v>168</v>
      </c>
      <c r="C147" s="46">
        <f>-X_ail+m_ail-p_ail-n_ail/2</f>
        <v>-987</v>
      </c>
      <c r="D147" s="208">
        <f>-D_ail/2-E_ail-Long_tot/20</f>
        <v>-219.85</v>
      </c>
      <c r="E147" s="93"/>
      <c r="K147" s="46"/>
    </row>
    <row r="148" spans="2:11" x14ac:dyDescent="0.2">
      <c r="B148" s="212" t="s">
        <v>165</v>
      </c>
      <c r="C148" s="200">
        <f>-X_ail+m_ail-p_ail-n_ail</f>
        <v>-1027</v>
      </c>
      <c r="D148" s="209">
        <f>-D_ail/2-E_ail-Long_tot/20</f>
        <v>-219.85</v>
      </c>
      <c r="E148" s="93"/>
      <c r="K148" s="46"/>
    </row>
    <row r="149" spans="2:11" x14ac:dyDescent="0.2">
      <c r="B149" s="183" t="s">
        <v>83</v>
      </c>
      <c r="C149" s="197">
        <f ca="1">-XcgPlein</f>
        <v>-625.73294263132436</v>
      </c>
      <c r="D149" s="207">
        <v>0</v>
      </c>
      <c r="E149" s="93"/>
      <c r="K149" s="46"/>
    </row>
    <row r="150" spans="2:11" x14ac:dyDescent="0.2">
      <c r="B150" s="187" t="s">
        <v>84</v>
      </c>
      <c r="C150" s="200">
        <f ca="1">-XcgVide</f>
        <v>-618.64591156195706</v>
      </c>
      <c r="D150" s="209">
        <v>0</v>
      </c>
      <c r="E150" s="93"/>
      <c r="K150" s="46"/>
    </row>
    <row r="151" spans="2:11" x14ac:dyDescent="0.2">
      <c r="B151" s="183" t="s">
        <v>85</v>
      </c>
      <c r="C151" s="197">
        <f>-XCp</f>
        <v>-789.86509891988771</v>
      </c>
      <c r="D151" s="207">
        <v>0</v>
      </c>
      <c r="E151" s="93"/>
      <c r="K151" s="46"/>
    </row>
    <row r="152" spans="2:11" x14ac:dyDescent="0.2">
      <c r="B152" s="187" t="s">
        <v>85</v>
      </c>
      <c r="C152" s="200">
        <f>-XCp</f>
        <v>-789.86509891988771</v>
      </c>
      <c r="D152" s="209">
        <f>Cn*D_ref/CritCnmin</f>
        <v>86.237651224253341</v>
      </c>
      <c r="E152" s="93"/>
      <c r="K152" s="46"/>
    </row>
    <row r="153" spans="2:11" x14ac:dyDescent="0.2">
      <c r="B153" s="185" t="s">
        <v>422</v>
      </c>
      <c r="C153" s="46">
        <f>-XCp0</f>
        <v>-789.86509891988771</v>
      </c>
      <c r="D153" s="208">
        <f>Cn0*D_ref/CritCnmin</f>
        <v>86.237651224253341</v>
      </c>
      <c r="E153" s="93"/>
      <c r="K153" s="46"/>
    </row>
    <row r="154" spans="2:11" x14ac:dyDescent="0.2">
      <c r="B154" s="185" t="s">
        <v>422</v>
      </c>
      <c r="C154" s="46">
        <f>-XCp0</f>
        <v>-789.86509891988771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-622.18942709664066</v>
      </c>
      <c r="D155" s="207">
        <f>-D_ail/2-E_ail-Long_tot/20</f>
        <v>-219.85</v>
      </c>
      <c r="E155" s="93"/>
      <c r="K155" s="46"/>
    </row>
    <row r="156" spans="2:11" x14ac:dyDescent="0.2">
      <c r="B156" s="195" t="s">
        <v>171</v>
      </c>
      <c r="C156" s="46">
        <f ca="1">(C155+C157)/2</f>
        <v>-706.02726300826419</v>
      </c>
      <c r="D156" s="208">
        <f>-D_ail/2-E_ail-Long_tot/20</f>
        <v>-219.85</v>
      </c>
      <c r="E156" s="93"/>
      <c r="K156" s="46"/>
    </row>
    <row r="157" spans="2:11" x14ac:dyDescent="0.2">
      <c r="B157" s="212" t="s">
        <v>172</v>
      </c>
      <c r="C157" s="200">
        <f>-XCp</f>
        <v>-789.86509891988771</v>
      </c>
      <c r="D157" s="209">
        <f>-D_ail/2-E_ail-Long_tot/20</f>
        <v>-219.85</v>
      </c>
      <c r="E157" s="93"/>
      <c r="K157" s="46"/>
    </row>
    <row r="158" spans="2:11" x14ac:dyDescent="0.2">
      <c r="B158" s="183" t="s">
        <v>86</v>
      </c>
      <c r="C158" s="197">
        <f>IF(LEFT(Type_masquage,1)="M",0,-X_can+m_can)</f>
        <v>0</v>
      </c>
      <c r="D158" s="197">
        <f>IF(LEFT(Type_masquage,1)="M",0,D_ail/2)</f>
        <v>0</v>
      </c>
      <c r="E158" s="198">
        <f t="shared" ref="E158:E167" si="1">-D158</f>
        <v>0</v>
      </c>
      <c r="K158" s="46"/>
    </row>
    <row r="159" spans="2:11" x14ac:dyDescent="0.2">
      <c r="B159" s="185" t="s">
        <v>87</v>
      </c>
      <c r="C159" s="46">
        <f>IF(LEFT(Type_masquage,1)="M",0,-X_can+m_can-p_can)</f>
        <v>0</v>
      </c>
      <c r="D159" s="46">
        <f>IF(LEFT(Type_masquage,1)="M",0,D_ail/2+E_can)</f>
        <v>0</v>
      </c>
      <c r="E159" s="199">
        <f t="shared" si="1"/>
        <v>0</v>
      </c>
      <c r="K159" s="46"/>
    </row>
    <row r="160" spans="2:11" x14ac:dyDescent="0.2">
      <c r="B160" s="185" t="s">
        <v>88</v>
      </c>
      <c r="C160" s="46">
        <f>IF(LEFT(Type_masquage,1)="M",0,-X_can+m_can-p_can-n_can)</f>
        <v>0</v>
      </c>
      <c r="D160" s="46">
        <f>IF(LEFT(Type_masquage,1)="M",0,D_ail/2+E_can)</f>
        <v>0</v>
      </c>
      <c r="E160" s="199">
        <f t="shared" si="1"/>
        <v>0</v>
      </c>
      <c r="K160" s="46"/>
    </row>
    <row r="161" spans="2:11" x14ac:dyDescent="0.2">
      <c r="B161" s="185" t="s">
        <v>89</v>
      </c>
      <c r="C161" s="46">
        <f>IF(LEFT(Type_masquage,1)="M",0,-X_can)</f>
        <v>0</v>
      </c>
      <c r="D161" s="46">
        <f>IF(LEFT(Type_masquage,1)="M",0,D_ail/2)</f>
        <v>0</v>
      </c>
      <c r="E161" s="199">
        <f t="shared" si="1"/>
        <v>0</v>
      </c>
      <c r="K161" s="46"/>
    </row>
    <row r="162" spans="2:11" x14ac:dyDescent="0.2">
      <c r="B162" s="187" t="s">
        <v>86</v>
      </c>
      <c r="C162" s="200">
        <f>IF(LEFT(Type_masquage,1)="M",0,-X_can+m_can)</f>
        <v>0</v>
      </c>
      <c r="D162" s="200">
        <f>IF(LEFT(Type_masquage,1)="M",0,D_ail/2)</f>
        <v>0</v>
      </c>
      <c r="E162" s="201">
        <f t="shared" si="1"/>
        <v>0</v>
      </c>
      <c r="K162" s="46"/>
    </row>
    <row r="163" spans="2:11" x14ac:dyDescent="0.2">
      <c r="B163" s="183" t="s">
        <v>90</v>
      </c>
      <c r="C163" s="197">
        <f>IF(LEFT(Type_masquage,1)="B",-X_int+m_int,0)</f>
        <v>0</v>
      </c>
      <c r="D163" s="197">
        <f>IF(LEFT(Type_masquage,1)="B",D_int/2,0)</f>
        <v>0</v>
      </c>
      <c r="E163" s="198">
        <f t="shared" si="1"/>
        <v>0</v>
      </c>
      <c r="K163" s="46"/>
    </row>
    <row r="164" spans="2:11" x14ac:dyDescent="0.2">
      <c r="B164" s="185" t="s">
        <v>91</v>
      </c>
      <c r="C164" s="46">
        <f>IF(LEFT(Type_masquage,1)="B",-X_int+m_int-p_int,0)</f>
        <v>0</v>
      </c>
      <c r="D164" s="46">
        <f>IF(LEFT(Type_masquage,1)="B",D_int/2+E_int,0)</f>
        <v>0</v>
      </c>
      <c r="E164" s="199">
        <f t="shared" si="1"/>
        <v>0</v>
      </c>
      <c r="K164" s="46"/>
    </row>
    <row r="165" spans="2:11" x14ac:dyDescent="0.2">
      <c r="B165" s="185" t="s">
        <v>92</v>
      </c>
      <c r="C165" s="46">
        <f>IF(LEFT(Type_masquage,1)="B",-X_int+m_int-p_int-n_int,0)</f>
        <v>0</v>
      </c>
      <c r="D165" s="46">
        <f>IF(LEFT(Type_masquage,1)="B",D_int/2+E_int,0)</f>
        <v>0</v>
      </c>
      <c r="E165" s="199">
        <f t="shared" si="1"/>
        <v>0</v>
      </c>
      <c r="K165" s="46"/>
    </row>
    <row r="166" spans="2:11" x14ac:dyDescent="0.2">
      <c r="B166" s="185" t="s">
        <v>93</v>
      </c>
      <c r="C166" s="46">
        <f>IF(LEFT(Type_masquage,1)="B",-X_int,0)</f>
        <v>0</v>
      </c>
      <c r="D166" s="46">
        <f>IF(LEFT(Type_masquage,1)="B",D_int/2,0)</f>
        <v>0</v>
      </c>
      <c r="E166" s="199">
        <f t="shared" si="1"/>
        <v>0</v>
      </c>
      <c r="K166" s="46"/>
    </row>
    <row r="167" spans="2:11" x14ac:dyDescent="0.2">
      <c r="B167" s="187" t="s">
        <v>90</v>
      </c>
      <c r="C167" s="200">
        <f>IF(LEFT(Type_masquage,1)="B",-X_int+m_int,0)</f>
        <v>0</v>
      </c>
      <c r="D167" s="200">
        <f>IF(LEFT(Type_masquage,1)="B",D_int/2,0)</f>
        <v>0</v>
      </c>
      <c r="E167" s="201">
        <f t="shared" si="1"/>
        <v>0</v>
      </c>
      <c r="K167" s="46"/>
    </row>
    <row r="168" spans="2:11" x14ac:dyDescent="0.2">
      <c r="B168" s="45" t="s">
        <v>94</v>
      </c>
      <c r="C168" s="46">
        <f>-MAX(Long_tot, X_ail-m_ail+p_ail+n_ail, (E_ail+D_ail/2)*3.2)*1.01</f>
        <v>-1037.27</v>
      </c>
      <c r="D168" s="46">
        <f>MAX(E_ail+D_ail/2, Long_tot/3)</f>
        <v>319</v>
      </c>
      <c r="E168" s="93"/>
      <c r="K168" s="46"/>
    </row>
    <row r="169" spans="2:11" x14ac:dyDescent="0.2">
      <c r="B169" s="45" t="s">
        <v>94</v>
      </c>
      <c r="C169" s="46">
        <f>C168</f>
        <v>-1037.27</v>
      </c>
      <c r="D169" s="46">
        <f>-D168</f>
        <v>-319</v>
      </c>
      <c r="E169" s="93"/>
      <c r="K169" s="46"/>
    </row>
    <row r="170" spans="2:11" x14ac:dyDescent="0.2">
      <c r="B170" s="183" t="s">
        <v>95</v>
      </c>
      <c r="C170" s="197">
        <f ca="1">-XpropuRef+Long_propu</f>
        <v>-679</v>
      </c>
      <c r="D170" s="207">
        <f ca="1">-Diam_propu/2</f>
        <v>-12</v>
      </c>
      <c r="E170" s="93"/>
      <c r="K170" s="46"/>
    </row>
    <row r="171" spans="2:11" x14ac:dyDescent="0.2">
      <c r="B171" s="185" t="s">
        <v>96</v>
      </c>
      <c r="C171" s="46">
        <f ca="1">-XpropuRef+Long_propu</f>
        <v>-679</v>
      </c>
      <c r="D171" s="208">
        <f ca="1">Diam_propu/2</f>
        <v>12</v>
      </c>
      <c r="E171" s="93"/>
      <c r="K171" s="46"/>
    </row>
    <row r="172" spans="2:11" x14ac:dyDescent="0.2">
      <c r="B172" s="185" t="s">
        <v>97</v>
      </c>
      <c r="C172" s="46">
        <f>-XpropuRef</f>
        <v>-907</v>
      </c>
      <c r="D172" s="208">
        <f ca="1">Diam_propu/2</f>
        <v>12</v>
      </c>
      <c r="E172" s="93"/>
      <c r="K172" s="46"/>
    </row>
    <row r="173" spans="2:11" x14ac:dyDescent="0.2">
      <c r="B173" s="185" t="s">
        <v>98</v>
      </c>
      <c r="C173" s="46">
        <f>-XpropuRef</f>
        <v>-907</v>
      </c>
      <c r="D173" s="208">
        <f ca="1">-Diam_propu/2</f>
        <v>-12</v>
      </c>
      <c r="E173" s="93"/>
      <c r="K173" s="46"/>
    </row>
    <row r="174" spans="2:11" x14ac:dyDescent="0.2">
      <c r="B174" s="187" t="s">
        <v>99</v>
      </c>
      <c r="C174" s="200">
        <f ca="1">-XpropuRef+Long_propu</f>
        <v>-679</v>
      </c>
      <c r="D174" s="209">
        <f ca="1">-Diam_propu/2</f>
        <v>-12</v>
      </c>
      <c r="E174" s="93"/>
      <c r="F174" s="192" t="s">
        <v>160</v>
      </c>
      <c r="G174" s="193" t="s">
        <v>161</v>
      </c>
      <c r="H174" s="194" t="s">
        <v>162</v>
      </c>
      <c r="K174" s="46"/>
    </row>
    <row r="175" spans="2:11" x14ac:dyDescent="0.2">
      <c r="B175" s="183" t="s">
        <v>72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73</v>
      </c>
      <c r="C176" s="46">
        <f>-Long_ogive*0.1</f>
        <v>-27.5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73</v>
      </c>
      <c r="C177" s="46">
        <f>-Long_ogive/4</f>
        <v>-68.75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73</v>
      </c>
      <c r="C178" s="46">
        <f>-Long_ogive/2</f>
        <v>-137.5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73</v>
      </c>
      <c r="C179" s="46">
        <f>-Long_ogive*3/4</f>
        <v>-206.25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73</v>
      </c>
      <c r="C180" s="200">
        <f>-Long_ogive</f>
        <v>-275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100</v>
      </c>
      <c r="C181" s="45" t="s">
        <v>101</v>
      </c>
      <c r="D181" s="183" t="s">
        <v>100</v>
      </c>
      <c r="E181" s="204" t="s">
        <v>101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60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30</v>
      </c>
      <c r="K183" s="45"/>
    </row>
    <row r="184" spans="2:11" x14ac:dyDescent="0.2">
      <c r="B184" s="183">
        <v>0</v>
      </c>
      <c r="C184" s="202">
        <f>CritCnmax</f>
        <v>30</v>
      </c>
      <c r="D184" s="185">
        <v>2</v>
      </c>
      <c r="E184" s="205">
        <f t="shared" si="3"/>
        <v>15</v>
      </c>
      <c r="K184" s="45"/>
    </row>
    <row r="185" spans="2:11" x14ac:dyDescent="0.2">
      <c r="B185" s="187">
        <v>7</v>
      </c>
      <c r="C185" s="196">
        <f>CritCnmax</f>
        <v>30</v>
      </c>
      <c r="D185" s="185">
        <v>3</v>
      </c>
      <c r="E185" s="205">
        <f t="shared" si="3"/>
        <v>10</v>
      </c>
      <c r="K185" s="45"/>
    </row>
    <row r="186" spans="2:11" x14ac:dyDescent="0.2">
      <c r="B186" s="183">
        <f>CritMsmin</f>
        <v>1.5</v>
      </c>
      <c r="C186" s="202">
        <v>0</v>
      </c>
      <c r="D186" s="185">
        <v>5</v>
      </c>
      <c r="E186" s="205">
        <f t="shared" si="3"/>
        <v>6</v>
      </c>
      <c r="K186" s="45"/>
    </row>
    <row r="187" spans="2:11" x14ac:dyDescent="0.2">
      <c r="B187" s="187">
        <f>CritMsmin</f>
        <v>1.5</v>
      </c>
      <c r="C187" s="196">
        <v>55</v>
      </c>
      <c r="D187" s="185">
        <v>7</v>
      </c>
      <c r="E187" s="205">
        <f t="shared" si="3"/>
        <v>4.2857142857142856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1.953954241530516</v>
      </c>
      <c r="C190" s="203">
        <f>Cn</f>
        <v>15.399580575759524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1.953954241530516</v>
      </c>
      <c r="C191" s="515">
        <f>Cn0</f>
        <v>15.399580575759524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2.0383236590229838</v>
      </c>
      <c r="C192" s="515">
        <f>Cn0</f>
        <v>15.399580575759524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2.0383236590229838</v>
      </c>
      <c r="C193" s="515">
        <f>Cn</f>
        <v>15.399580575759524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1.953954241530516</v>
      </c>
      <c r="C194" s="516">
        <f>Cn</f>
        <v>15.399580575759524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22.5</v>
      </c>
      <c r="D195" s="26"/>
      <c r="E195" s="90"/>
      <c r="K195" s="26"/>
    </row>
    <row r="196" spans="2:11" x14ac:dyDescent="0.2">
      <c r="B196" s="185">
        <f>MAX(CritMsmin,CritMsCnmin/C196)</f>
        <v>1.5</v>
      </c>
      <c r="C196" s="45">
        <f>(CritCnmin+CritCnmax)/2</f>
        <v>22.5</v>
      </c>
      <c r="D196" s="26"/>
      <c r="E196" s="90"/>
      <c r="K196" s="26"/>
    </row>
    <row r="197" spans="2:11" x14ac:dyDescent="0.2">
      <c r="B197" s="185">
        <f>MIN(CritMsmax,CritMsCnmax/C197)</f>
        <v>4.4444444444444446</v>
      </c>
      <c r="C197" s="189">
        <f>(CritCnmin+CritCnmax)/2</f>
        <v>22.5</v>
      </c>
    </row>
    <row r="198" spans="2:11" x14ac:dyDescent="0.2">
      <c r="B198" s="187">
        <v>7</v>
      </c>
      <c r="C198" s="190">
        <f>(CritCnmin+CritCnmax)/2</f>
        <v>22.5</v>
      </c>
    </row>
    <row r="199" spans="2:11" x14ac:dyDescent="0.2">
      <c r="B199" s="183">
        <f>(CritMsmin+CritMsmax)/2</f>
        <v>3.75</v>
      </c>
      <c r="C199" s="184">
        <v>0</v>
      </c>
    </row>
    <row r="200" spans="2:11" x14ac:dyDescent="0.2">
      <c r="B200" s="185">
        <f>(CritMsmin+CritMsmax)/2</f>
        <v>3.75</v>
      </c>
      <c r="C200" s="186">
        <f>MAX(CritCnmin,CritMsCnmin/B200)</f>
        <v>15</v>
      </c>
    </row>
    <row r="201" spans="2:11" x14ac:dyDescent="0.2">
      <c r="B201" s="185">
        <f>(CritMsmin+CritMsmax)/2</f>
        <v>3.75</v>
      </c>
      <c r="C201" s="186">
        <f>MIN(CritCnmax,CritMsCnmax/B201)</f>
        <v>26.666666666666668</v>
      </c>
    </row>
    <row r="202" spans="2:11" x14ac:dyDescent="0.2">
      <c r="B202" s="187">
        <f>(CritMsmin+CritMsmax)/2</f>
        <v>3.75</v>
      </c>
      <c r="C202" s="188">
        <v>55</v>
      </c>
    </row>
    <row r="203" spans="2:11" x14ac:dyDescent="0.2">
      <c r="D203" s="475"/>
    </row>
    <row r="204" spans="2:11" x14ac:dyDescent="0.2">
      <c r="B204" s="477" t="s">
        <v>405</v>
      </c>
      <c r="C204" s="31" t="b">
        <f ca="1">(OR(C205:C210))</f>
        <v>1</v>
      </c>
      <c r="D204" s="475"/>
    </row>
    <row r="205" spans="2:11" x14ac:dyDescent="0.2">
      <c r="B205" s="476" t="s">
        <v>402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119</v>
      </c>
      <c r="C206" s="475" t="b">
        <f ca="1">AND(Type_propu="Fusex",RIGHT(Type_fusee,1)=".")</f>
        <v>0</v>
      </c>
      <c r="D206" s="475"/>
    </row>
    <row r="207" spans="2:11" x14ac:dyDescent="0.2">
      <c r="B207" s="476" t="s">
        <v>403</v>
      </c>
      <c r="C207" s="475" t="b">
        <f ca="1">LEFT(Type_propu,5)=LEFT(Type_fusee,5)</f>
        <v>0</v>
      </c>
      <c r="D207" s="475"/>
    </row>
    <row r="208" spans="2:11" x14ac:dyDescent="0.2">
      <c r="B208" s="476" t="s">
        <v>404</v>
      </c>
      <c r="C208" s="475" t="b">
        <f ca="1">AND(RIGHT(Type_propu,1)="N",LEFT(Type_fusee,4)="Mini")</f>
        <v>1</v>
      </c>
      <c r="D208" s="475"/>
    </row>
    <row r="209" spans="1:3" x14ac:dyDescent="0.2">
      <c r="B209" s="476" t="s">
        <v>406</v>
      </c>
      <c r="C209" s="475" t="b">
        <f ca="1">AND(LEFT(Type_propu,5)="MiniR",LEFT(Type_fusee,1)="R")</f>
        <v>0</v>
      </c>
    </row>
    <row r="210" spans="1:3" x14ac:dyDescent="0.2">
      <c r="B210" s="476" t="s">
        <v>396</v>
      </c>
      <c r="C210" s="475" t="b">
        <f ca="1">AND(LEFT(Type_propu,4)="Mini",LEFT(Type_fusee,1)=",")</f>
        <v>0</v>
      </c>
    </row>
    <row r="223" spans="1:3" x14ac:dyDescent="0.2">
      <c r="A223" s="24" t="s">
        <v>463</v>
      </c>
    </row>
    <row r="226" spans="1:1" x14ac:dyDescent="0.2">
      <c r="A226" s="24" t="s">
        <v>476</v>
      </c>
    </row>
    <row r="228" spans="1:1" x14ac:dyDescent="0.2">
      <c r="A228" s="24" t="s">
        <v>477</v>
      </c>
    </row>
    <row r="230" spans="1:1" x14ac:dyDescent="0.2">
      <c r="A230" s="24" t="s">
        <v>478</v>
      </c>
    </row>
    <row r="232" spans="1:1" x14ac:dyDescent="0.2">
      <c r="A232" s="24" t="s">
        <v>479</v>
      </c>
    </row>
    <row r="233" spans="1:1" x14ac:dyDescent="0.2">
      <c r="A233" s="24" t="s">
        <v>480</v>
      </c>
    </row>
    <row r="234" spans="1:1" x14ac:dyDescent="0.2">
      <c r="A234" s="24" t="s">
        <v>481</v>
      </c>
    </row>
    <row r="235" spans="1:1" x14ac:dyDescent="0.2">
      <c r="A235" s="24" t="s">
        <v>482</v>
      </c>
    </row>
    <row r="236" spans="1:1" x14ac:dyDescent="0.2">
      <c r="A236" s="24" t="s">
        <v>483</v>
      </c>
    </row>
    <row r="237" spans="1:1" x14ac:dyDescent="0.2">
      <c r="A237" s="24" t="s">
        <v>484</v>
      </c>
    </row>
    <row r="238" spans="1:1" x14ac:dyDescent="0.2">
      <c r="A238" s="24" t="s">
        <v>184</v>
      </c>
    </row>
    <row r="239" spans="1:1" x14ac:dyDescent="0.2">
      <c r="A239" s="24" t="s">
        <v>485</v>
      </c>
    </row>
    <row r="240" spans="1:1" x14ac:dyDescent="0.2">
      <c r="A240" s="24" t="s">
        <v>486</v>
      </c>
    </row>
    <row r="241" spans="1:1" x14ac:dyDescent="0.2">
      <c r="A241" s="24" t="s">
        <v>184</v>
      </c>
    </row>
    <row r="242" spans="1:1" x14ac:dyDescent="0.2">
      <c r="A242" s="24" t="s">
        <v>487</v>
      </c>
    </row>
    <row r="244" spans="1:1" x14ac:dyDescent="0.2">
      <c r="A244" s="24" t="s">
        <v>488</v>
      </c>
    </row>
    <row r="246" spans="1:1" x14ac:dyDescent="0.2">
      <c r="A246" s="24" t="s">
        <v>489</v>
      </c>
    </row>
    <row r="248" spans="1:1" x14ac:dyDescent="0.2">
      <c r="A248" s="24" t="s">
        <v>490</v>
      </c>
    </row>
    <row r="249" spans="1:1" x14ac:dyDescent="0.2">
      <c r="A249" s="24" t="s">
        <v>491</v>
      </c>
    </row>
    <row r="250" spans="1:1" x14ac:dyDescent="0.2">
      <c r="A250" s="24" t="s">
        <v>492</v>
      </c>
    </row>
    <row r="251" spans="1:1" x14ac:dyDescent="0.2">
      <c r="A251" s="24" t="s">
        <v>493</v>
      </c>
    </row>
    <row r="252" spans="1:1" x14ac:dyDescent="0.2">
      <c r="A252" s="24" t="s">
        <v>494</v>
      </c>
    </row>
    <row r="254" spans="1:1" x14ac:dyDescent="0.2">
      <c r="A254" s="24" t="s">
        <v>495</v>
      </c>
    </row>
    <row r="255" spans="1:1" x14ac:dyDescent="0.2">
      <c r="A255" s="24" t="s">
        <v>496</v>
      </c>
    </row>
    <row r="256" spans="1:1" x14ac:dyDescent="0.2">
      <c r="A256" s="24" t="s">
        <v>497</v>
      </c>
    </row>
    <row r="257" spans="1:1" x14ac:dyDescent="0.2">
      <c r="A257" s="24" t="s">
        <v>498</v>
      </c>
    </row>
    <row r="258" spans="1:1" x14ac:dyDescent="0.2">
      <c r="A258" s="24" t="s">
        <v>499</v>
      </c>
    </row>
    <row r="261" spans="1:1" x14ac:dyDescent="0.2">
      <c r="A261" s="24" t="s">
        <v>500</v>
      </c>
    </row>
    <row r="262" spans="1:1" x14ac:dyDescent="0.2">
      <c r="A262" s="24" t="s">
        <v>501</v>
      </c>
    </row>
    <row r="263" spans="1:1" x14ac:dyDescent="0.2">
      <c r="A263" s="24" t="s">
        <v>502</v>
      </c>
    </row>
    <row r="264" spans="1:1" x14ac:dyDescent="0.2">
      <c r="A264" s="24" t="s">
        <v>503</v>
      </c>
    </row>
    <row r="265" spans="1:1" x14ac:dyDescent="0.2">
      <c r="A265" s="24" t="s">
        <v>504</v>
      </c>
    </row>
    <row r="267" spans="1:1" x14ac:dyDescent="0.2">
      <c r="A267" s="24" t="s">
        <v>497</v>
      </c>
    </row>
    <row r="268" spans="1:1" x14ac:dyDescent="0.2">
      <c r="A268" s="24" t="s">
        <v>498</v>
      </c>
    </row>
    <row r="269" spans="1:1" x14ac:dyDescent="0.2">
      <c r="A269" s="24" t="s">
        <v>505</v>
      </c>
    </row>
    <row r="272" spans="1:1" x14ac:dyDescent="0.2">
      <c r="A272" s="24" t="s">
        <v>465</v>
      </c>
    </row>
    <row r="273" spans="1:1" x14ac:dyDescent="0.2">
      <c r="A273" s="24" t="s">
        <v>466</v>
      </c>
    </row>
    <row r="275" spans="1:1" x14ac:dyDescent="0.2">
      <c r="A275" s="24" t="s">
        <v>506</v>
      </c>
    </row>
    <row r="277" spans="1:1" x14ac:dyDescent="0.2">
      <c r="A277" s="24" t="s">
        <v>505</v>
      </c>
    </row>
    <row r="280" spans="1:1" x14ac:dyDescent="0.2">
      <c r="A280" s="24" t="s">
        <v>467</v>
      </c>
    </row>
    <row r="281" spans="1:1" x14ac:dyDescent="0.2">
      <c r="A281" s="24" t="s">
        <v>468</v>
      </c>
    </row>
    <row r="282" spans="1:1" x14ac:dyDescent="0.2">
      <c r="A282" s="24" t="s">
        <v>507</v>
      </c>
    </row>
    <row r="283" spans="1:1" x14ac:dyDescent="0.2">
      <c r="A283" s="24" t="s">
        <v>508</v>
      </c>
    </row>
    <row r="284" spans="1:1" x14ac:dyDescent="0.2">
      <c r="A284" s="24" t="s">
        <v>505</v>
      </c>
    </row>
    <row r="285" spans="1:1" x14ac:dyDescent="0.2">
      <c r="A285" s="24" t="s">
        <v>469</v>
      </c>
    </row>
    <row r="287" spans="1:1" x14ac:dyDescent="0.2">
      <c r="A287" s="24" t="s">
        <v>509</v>
      </c>
    </row>
    <row r="288" spans="1:1" x14ac:dyDescent="0.2">
      <c r="A288" s="24" t="s">
        <v>507</v>
      </c>
    </row>
    <row r="289" spans="1:1" x14ac:dyDescent="0.2">
      <c r="A289" s="24" t="s">
        <v>510</v>
      </c>
    </row>
    <row r="291" spans="1:1" x14ac:dyDescent="0.2">
      <c r="A291" s="24" t="s">
        <v>505</v>
      </c>
    </row>
    <row r="294" spans="1:1" x14ac:dyDescent="0.2">
      <c r="A294" s="24" t="s">
        <v>511</v>
      </c>
    </row>
    <row r="295" spans="1:1" x14ac:dyDescent="0.2">
      <c r="A295" s="24" t="s">
        <v>512</v>
      </c>
    </row>
    <row r="296" spans="1:1" x14ac:dyDescent="0.2">
      <c r="A296" s="24" t="s">
        <v>513</v>
      </c>
    </row>
    <row r="298" spans="1:1" x14ac:dyDescent="0.2">
      <c r="A298" s="24" t="s">
        <v>505</v>
      </c>
    </row>
    <row r="301" spans="1:1" x14ac:dyDescent="0.2">
      <c r="A301" s="24" t="s">
        <v>514</v>
      </c>
    </row>
    <row r="302" spans="1:1" x14ac:dyDescent="0.2">
      <c r="A302" s="24" t="s">
        <v>515</v>
      </c>
    </row>
    <row r="304" spans="1:1" x14ac:dyDescent="0.2">
      <c r="A304" s="24" t="s">
        <v>516</v>
      </c>
    </row>
    <row r="305" spans="1:1" x14ac:dyDescent="0.2">
      <c r="A305" s="24" t="s">
        <v>517</v>
      </c>
    </row>
    <row r="306" spans="1:1" x14ac:dyDescent="0.2">
      <c r="A306" s="24" t="s">
        <v>505</v>
      </c>
    </row>
    <row r="309" spans="1:1" x14ac:dyDescent="0.2">
      <c r="A309" s="24" t="s">
        <v>514</v>
      </c>
    </row>
    <row r="310" spans="1:1" x14ac:dyDescent="0.2">
      <c r="A310" s="24" t="s">
        <v>518</v>
      </c>
    </row>
    <row r="311" spans="1:1" x14ac:dyDescent="0.2">
      <c r="A311" s="24" t="s">
        <v>514</v>
      </c>
    </row>
    <row r="312" spans="1:1" x14ac:dyDescent="0.2">
      <c r="A312" s="24" t="s">
        <v>519</v>
      </c>
    </row>
    <row r="314" spans="1:1" x14ac:dyDescent="0.2">
      <c r="A314" s="24" t="s">
        <v>520</v>
      </c>
    </row>
    <row r="316" spans="1:1" x14ac:dyDescent="0.2">
      <c r="A316" s="24" t="s">
        <v>505</v>
      </c>
    </row>
    <row r="319" spans="1:1" x14ac:dyDescent="0.2">
      <c r="A319" s="24" t="s">
        <v>514</v>
      </c>
    </row>
    <row r="320" spans="1:1" x14ac:dyDescent="0.2">
      <c r="A320" s="24" t="s">
        <v>521</v>
      </c>
    </row>
    <row r="321" spans="1:1" x14ac:dyDescent="0.2">
      <c r="A321" s="24" t="s">
        <v>522</v>
      </c>
    </row>
    <row r="322" spans="1:1" x14ac:dyDescent="0.2">
      <c r="A322" s="24" t="s">
        <v>523</v>
      </c>
    </row>
    <row r="324" spans="1:1" x14ac:dyDescent="0.2">
      <c r="A324" s="24" t="s">
        <v>505</v>
      </c>
    </row>
    <row r="326" spans="1:1" x14ac:dyDescent="0.2">
      <c r="A326" s="24" t="s">
        <v>464</v>
      </c>
    </row>
    <row r="329" spans="1:1" x14ac:dyDescent="0.2">
      <c r="A329" s="24" t="s">
        <v>470</v>
      </c>
    </row>
    <row r="330" spans="1:1" x14ac:dyDescent="0.2">
      <c r="A330" s="24" t="s">
        <v>471</v>
      </c>
    </row>
    <row r="331" spans="1:1" x14ac:dyDescent="0.2">
      <c r="A331" s="24" t="s">
        <v>524</v>
      </c>
    </row>
    <row r="332" spans="1:1" x14ac:dyDescent="0.2">
      <c r="A332" s="24" t="s">
        <v>525</v>
      </c>
    </row>
    <row r="333" spans="1:1" x14ac:dyDescent="0.2">
      <c r="A333" s="24" t="s">
        <v>526</v>
      </c>
    </row>
    <row r="334" spans="1:1" x14ac:dyDescent="0.2">
      <c r="A334" s="24" t="s">
        <v>527</v>
      </c>
    </row>
    <row r="335" spans="1:1" x14ac:dyDescent="0.2">
      <c r="A335" s="24" t="s">
        <v>528</v>
      </c>
    </row>
    <row r="336" spans="1:1" x14ac:dyDescent="0.2">
      <c r="A336" s="24" t="s">
        <v>481</v>
      </c>
    </row>
    <row r="337" spans="1:1" x14ac:dyDescent="0.2">
      <c r="A337" s="24" t="s">
        <v>472</v>
      </c>
    </row>
    <row r="340" spans="1:1" x14ac:dyDescent="0.2">
      <c r="A340" s="24" t="s">
        <v>473</v>
      </c>
    </row>
    <row r="342" spans="1:1" x14ac:dyDescent="0.2">
      <c r="A342" s="24" t="s">
        <v>529</v>
      </c>
    </row>
    <row r="343" spans="1:1" x14ac:dyDescent="0.2">
      <c r="A343" s="24" t="s">
        <v>530</v>
      </c>
    </row>
    <row r="344" spans="1:1" x14ac:dyDescent="0.2">
      <c r="A344" s="24" t="s">
        <v>531</v>
      </c>
    </row>
    <row r="345" spans="1:1" x14ac:dyDescent="0.2">
      <c r="A345" s="24" t="s">
        <v>532</v>
      </c>
    </row>
    <row r="346" spans="1:1" x14ac:dyDescent="0.2">
      <c r="A346" s="24" t="s">
        <v>533</v>
      </c>
    </row>
    <row r="347" spans="1:1" x14ac:dyDescent="0.2">
      <c r="A347" s="24" t="s">
        <v>481</v>
      </c>
    </row>
    <row r="348" spans="1:1" x14ac:dyDescent="0.2">
      <c r="A348" s="24" t="s">
        <v>474</v>
      </c>
    </row>
    <row r="349" spans="1:1" x14ac:dyDescent="0.2">
      <c r="A349" s="24" t="s">
        <v>534</v>
      </c>
    </row>
    <row r="350" spans="1:1" x14ac:dyDescent="0.2">
      <c r="A350" s="24" t="s">
        <v>535</v>
      </c>
    </row>
    <row r="352" spans="1:1" x14ac:dyDescent="0.2">
      <c r="A352" s="24" t="s">
        <v>505</v>
      </c>
    </row>
    <row r="355" spans="1:1" x14ac:dyDescent="0.2">
      <c r="A355" s="24" t="s">
        <v>464</v>
      </c>
    </row>
    <row r="361" spans="1:1" x14ac:dyDescent="0.2">
      <c r="A361" s="24" t="s">
        <v>475</v>
      </c>
    </row>
  </sheetData>
  <sheetProtection password="C6AC" sheet="1"/>
  <dataConsolidate/>
  <mergeCells count="56"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3:D13"/>
    <mergeCell ref="C8:D8"/>
    <mergeCell ref="C9:D9"/>
    <mergeCell ref="O20:P20"/>
    <mergeCell ref="M23:N23"/>
    <mergeCell ref="M24:N24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M5:N5"/>
    <mergeCell ref="M6:N6"/>
    <mergeCell ref="M20:N20"/>
    <mergeCell ref="N14:O14"/>
    <mergeCell ref="N15:O15"/>
    <mergeCell ref="M17:N17"/>
    <mergeCell ref="C14:D14"/>
    <mergeCell ref="C26:D26"/>
    <mergeCell ref="C18:D18"/>
    <mergeCell ref="C19:D19"/>
    <mergeCell ref="O23:P23"/>
    <mergeCell ref="O24:P24"/>
    <mergeCell ref="C22:D22"/>
    <mergeCell ref="C21:D21"/>
    <mergeCell ref="C23:D23"/>
    <mergeCell ref="H33:I34"/>
    <mergeCell ref="M4:P4"/>
    <mergeCell ref="M2:P2"/>
    <mergeCell ref="N13:O13"/>
    <mergeCell ref="N12:O12"/>
    <mergeCell ref="O9:P9"/>
    <mergeCell ref="O8:P8"/>
    <mergeCell ref="O7:P7"/>
    <mergeCell ref="H27:I27"/>
    <mergeCell ref="M18:N18"/>
    <mergeCell ref="L3:M3"/>
    <mergeCell ref="N11:O11"/>
    <mergeCell ref="O6:P6"/>
    <mergeCell ref="O5:P5"/>
    <mergeCell ref="O17:P17"/>
    <mergeCell ref="O18:P18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359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639</formula>
    </cfRule>
  </conditionalFormatting>
  <conditionalFormatting sqref="C14 C23:D23 C34">
    <cfRule type="cellIs" dxfId="49" priority="20" stopIfTrue="1" operator="equal">
      <formula>59</formula>
    </cfRule>
  </conditionalFormatting>
  <conditionalFormatting sqref="C17">
    <cfRule type="expression" dxfId="48" priority="150" stopIfTrue="1">
      <formula>C204</formula>
    </cfRule>
  </conditionalFormatting>
  <conditionalFormatting sqref="C27 C29">
    <cfRule type="cellIs" dxfId="47" priority="17" stopIfTrue="1" operator="equal">
      <formula>109</formula>
    </cfRule>
  </conditionalFormatting>
  <conditionalFormatting sqref="C28">
    <cfRule type="cellIs" dxfId="46" priority="18" stopIfTrue="1" operator="equal">
      <formula>59</formula>
    </cfRule>
  </conditionalFormatting>
  <conditionalFormatting sqref="C30">
    <cfRule type="cellIs" dxfId="45" priority="19" stopIfTrue="1" operator="equal">
      <formula>99</formula>
    </cfRule>
  </conditionalFormatting>
  <conditionalFormatting sqref="C13:D13 C18 C33">
    <cfRule type="cellIs" dxfId="44" priority="22" stopIfTrue="1" operator="equal">
      <formula>1001</formula>
    </cfRule>
  </conditionalFormatting>
  <conditionalFormatting sqref="C22:D22">
    <cfRule type="cellIs" dxfId="43" priority="21" stopIfTrue="1" operator="equal">
      <formula>199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0000000-0002-0000-0000-000000000000}">
      <formula1>3</formula1>
      <formula2>6</formula2>
    </dataValidation>
    <dataValidation type="decimal" operator="notEqual" allowBlank="1" showInputMessage="1" showErrorMessage="1" error="Tapez uniquement la longueur, sans l'unité." sqref="C29:D29" xr:uid="{00000000-0002-0000-0000-000001000000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00000000-0002-0000-0000-000002000000}">
      <formula1>0</formula1>
    </dataValidation>
    <dataValidation type="list" showInputMessage="1" showErrorMessage="1" sqref="C26:D26" xr:uid="{00000000-0002-0000-0000-000003000000}">
      <formula1>Menu_Empennage</formula1>
    </dataValidation>
    <dataValidation type="list" showInputMessage="1" showErrorMessage="1" sqref="C17:D17" xr:uid="{00000000-0002-0000-0000-000004000000}">
      <formula1>Liste_propu</formula1>
    </dataValidation>
    <dataValidation type="list" showInputMessage="1" showErrorMessage="1" sqref="M2" xr:uid="{00000000-0002-0000-0000-000005000000}">
      <formula1>Menu_Lang</formula1>
    </dataValidation>
    <dataValidation type="decimal" showInputMessage="1" showErrorMessage="1" errorTitle="Masse de la Fusée" error="Tapez uniquement la masse, sans l'unité." sqref="C11" xr:uid="{00000000-0002-0000-0000-000006000000}">
      <formula1>0</formula1>
      <formula2>50000</formula2>
    </dataValidation>
    <dataValidation type="decimal" operator="greaterThan" showInputMessage="1" showErrorMessage="1" error="Tapez uniquement la longueur, sans l'unité." sqref="C12 C13:D13 C22:D23" xr:uid="{00000000-0002-0000-0000-000007000000}">
      <formula1>0</formula1>
    </dataValidation>
    <dataValidation type="list" showInputMessage="1" showErrorMessage="1" sqref="D11:D12" xr:uid="{00000000-0002-0000-0000-000008000000}">
      <formula1>Menu_with_motor</formula1>
    </dataValidation>
    <dataValidation type="list" showInputMessage="1" showErrorMessage="1" sqref="C10:D10" xr:uid="{00000000-0002-0000-0000-000009000000}">
      <formula1>Menu_Type</formula1>
    </dataValidation>
    <dataValidation type="decimal" operator="greaterThan" allowBlank="1" showInputMessage="1" showErrorMessage="1" error="Tapez uniquement la longueur, sans l'unité." sqref="C18" xr:uid="{00000000-0002-0000-0000-00000A000000}">
      <formula1>0</formula1>
    </dataValidation>
    <dataValidation type="list" showInputMessage="1" showErrorMessage="1" sqref="C21:D21" xr:uid="{00000000-0002-0000-0000-00000B000000}">
      <formula1>Menu_Ogive</formula1>
    </dataValidation>
    <dataValidation type="list" showInputMessage="1" showErrorMessage="1" sqref="M4" xr:uid="{00000000-0002-0000-0000-00000C000000}">
      <formula1>Menu_Transitions</formula1>
    </dataValidation>
  </dataValidations>
  <hyperlinks>
    <hyperlink ref="M38" location="Trajecto!C25" display="Trajecto" xr:uid="{00000000-0004-0000-0000-000000000000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 r:id="rId1"/>
  <headerFooter alignWithMargins="0"/>
  <ignoredErrors>
    <ignoredError sqref="C34:D34" unlockedFormula="1"/>
    <ignoredError sqref="E18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4" name="Spinner 935">
              <controlPr defaultSize="0" print="0" autoPict="0">
                <anchor moveWithCells="1" sizeWithCells="1">
                  <from>
                    <xdr:col>3</xdr:col>
                    <xdr:colOff>752475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5" name="Spinner 941">
              <controlPr defaultSize="0" print="0" autoPict="0">
                <anchor moveWithCells="1" sizeWithCells="1">
                  <from>
                    <xdr:col>2</xdr:col>
                    <xdr:colOff>752475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6" name="Spinner 942">
              <controlPr defaultSize="0" print="0" autoPict="0">
                <anchor moveWithCells="1" sizeWithCells="1">
                  <from>
                    <xdr:col>2</xdr:col>
                    <xdr:colOff>752475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7" name="Spinner 943">
              <controlPr defaultSize="0" print="0" autoPict="0">
                <anchor moveWithCells="1" sizeWithCells="1">
                  <from>
                    <xdr:col>3</xdr:col>
                    <xdr:colOff>752475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8" name="Spinner 949">
              <controlPr defaultSize="0" print="0" autoPict="0">
                <anchor moveWithCells="1" sizeWithCells="1">
                  <from>
                    <xdr:col>2</xdr:col>
                    <xdr:colOff>752475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9" name="Spinner 955">
              <controlPr defaultSize="0" print="0" autoPict="0">
                <anchor moveWithCells="1" sizeWithCells="1">
                  <from>
                    <xdr:col>2</xdr:col>
                    <xdr:colOff>752475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10" name="Spinner 956">
              <controlPr defaultSize="0" print="0" autoPict="0">
                <anchor moveWithCells="1" sizeWithCells="1">
                  <from>
                    <xdr:col>2</xdr:col>
                    <xdr:colOff>752475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1" name="Spinner 957">
              <controlPr defaultSize="0" print="0" autoPict="0">
                <anchor moveWithCells="1" sizeWithCells="1">
                  <from>
                    <xdr:col>2</xdr:col>
                    <xdr:colOff>752475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2" name="Spinner 958">
              <controlPr defaultSize="0" print="0" autoPict="0">
                <anchor moveWithCells="1" sizeWithCells="1">
                  <from>
                    <xdr:col>2</xdr:col>
                    <xdr:colOff>752475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3" name="Spinner 959">
              <controlPr defaultSize="0" print="0" autoPict="0">
                <anchor moveWithCells="1" sizeWithCells="1">
                  <from>
                    <xdr:col>2</xdr:col>
                    <xdr:colOff>752475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4" name="Spinner 961">
              <controlPr defaultSize="0" print="0" autoPict="0">
                <anchor moveWithCells="1" sizeWithCells="1">
                  <from>
                    <xdr:col>3</xdr:col>
                    <xdr:colOff>752475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5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6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R199"/>
  <sheetViews>
    <sheetView showGridLines="0" zoomScale="85" zoomScaleNormal="85" workbookViewId="0">
      <selection activeCell="C27" sqref="C27"/>
    </sheetView>
  </sheetViews>
  <sheetFormatPr baseColWidth="10" defaultColWidth="11.42578125" defaultRowHeight="12.75" x14ac:dyDescent="0.2"/>
  <cols>
    <col min="1" max="1" width="2.140625" style="1" customWidth="1"/>
    <col min="2" max="2" width="16.28515625" style="1" customWidth="1"/>
    <col min="3" max="4" width="11.425781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425781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591" t="s">
        <v>0</v>
      </c>
      <c r="D2" s="591"/>
      <c r="F2" s="3"/>
      <c r="J2" s="4"/>
      <c r="N2" s="57"/>
    </row>
    <row r="3" spans="1:14" ht="12.75" customHeight="1" x14ac:dyDescent="0.2">
      <c r="A3" s="56"/>
      <c r="B3" s="2"/>
      <c r="C3" s="591"/>
      <c r="D3" s="591"/>
      <c r="H3" s="5"/>
      <c r="J3" s="4"/>
      <c r="N3" s="57"/>
    </row>
    <row r="4" spans="1:14" ht="12.75" customHeight="1" x14ac:dyDescent="0.2">
      <c r="A4" s="56"/>
      <c r="B4" s="2"/>
      <c r="C4" s="595" t="str">
        <f>IF(Lang="Français","Trajectographie de fusée",IF(Lang="English","Rocket Trajectography",""))</f>
        <v>Trajectographie de fusée</v>
      </c>
      <c r="D4" s="595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594" t="str">
        <f>IF(Lang="Français","Remplir les cases jaunes",IF(Lang="English","Fill-in yellow cells only",""))</f>
        <v>Remplir les cases jaunes</v>
      </c>
      <c r="D6" s="594"/>
      <c r="J6" s="4"/>
      <c r="N6" s="57"/>
    </row>
    <row r="7" spans="1:14" x14ac:dyDescent="0.2">
      <c r="A7" s="56"/>
      <c r="B7" s="6"/>
      <c r="C7" s="592" t="str">
        <f>IF(Lang="Français","Fusée",IF(Lang="English","Rocket",""))</f>
        <v>Fusée</v>
      </c>
      <c r="D7" s="592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593" t="str">
        <f>Nom</f>
        <v>SP02-Beta</v>
      </c>
      <c r="D8" s="593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593" t="str">
        <f>Club</f>
        <v>l'Aeroipsa</v>
      </c>
      <c r="D9" s="593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17">
        <f ca="1">MassePlein</f>
        <v>1.8598999999999999</v>
      </c>
      <c r="D10" s="617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20" t="str">
        <f>Propu</f>
        <v>Pandora (Pro24-6G BS)</v>
      </c>
      <c r="D11" s="621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592" t="str">
        <f>IF(Lang="Français","Traînée Aérdynamique",IF(Lang="English","Drag",""))</f>
        <v>Traînée Aérdynamique</v>
      </c>
      <c r="D13" s="592"/>
      <c r="N13" s="58"/>
    </row>
    <row r="14" spans="1:14" ht="12.75" customHeight="1" x14ac:dyDescent="0.2">
      <c r="A14" s="59"/>
      <c r="B14" s="140" t="s">
        <v>41</v>
      </c>
      <c r="C14" s="622">
        <f>(PI()*D_ref^2/4+E_ail*ep_ail*Q_ail)/10^6</f>
        <v>6.711769440932395E-3</v>
      </c>
      <c r="D14" s="622"/>
      <c r="N14" s="58"/>
    </row>
    <row r="15" spans="1:14" ht="12.75" customHeight="1" x14ac:dyDescent="0.2">
      <c r="A15" s="59"/>
      <c r="B15" s="141" t="s">
        <v>5</v>
      </c>
      <c r="C15" s="615">
        <v>0.4</v>
      </c>
      <c r="D15" s="616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592" t="str">
        <f>IF(Lang="Français","Rampe de Lancement",IF(Lang="English","Launch Pad",""))</f>
        <v>Rampe de Lancement</v>
      </c>
      <c r="D17" s="592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19">
        <v>0</v>
      </c>
      <c r="D18" s="619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18">
        <v>80.569999999999993</v>
      </c>
      <c r="D19" s="618"/>
      <c r="N19" s="58"/>
    </row>
    <row r="20" spans="1:18" ht="12.75" customHeight="1" x14ac:dyDescent="0.2">
      <c r="A20" s="59"/>
      <c r="B20" s="140" t="s">
        <v>6</v>
      </c>
      <c r="C20" s="619">
        <v>0</v>
      </c>
      <c r="D20" s="619"/>
      <c r="N20" s="58"/>
    </row>
    <row r="21" spans="1:18" ht="12.75" customHeight="1" x14ac:dyDescent="0.2">
      <c r="A21" s="59"/>
      <c r="F21" s="384" t="e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>#N/A</v>
      </c>
      <c r="N21" s="58"/>
    </row>
    <row r="22" spans="1:18" x14ac:dyDescent="0.2">
      <c r="A22" s="59"/>
      <c r="C22" s="605" t="str">
        <f>IF(Lang="Français","DescenteSousParachute",IF(Lang="English","Over Parachute",""))</f>
        <v>DescenteSousParachute</v>
      </c>
      <c r="D22" s="606"/>
      <c r="F22" s="4"/>
      <c r="G22" s="50">
        <f ca="1">TODAY()</f>
        <v>45851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421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121</v>
      </c>
      <c r="F23" s="607" t="str">
        <f>IF(Lang="Français","Sortie de Rampe",IF(Lang="English","Launch-Pad Exit",""))</f>
        <v>Sortie de Rampe</v>
      </c>
      <c r="G23" s="608"/>
      <c r="H23" s="493"/>
      <c r="I23" s="493"/>
      <c r="J23" s="493"/>
      <c r="K23" s="494" t="e">
        <f ca="1">INDEX(vit_xz,MATCH("Sortie de rampe",Event,0))</f>
        <v>#N/A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1.7843</v>
      </c>
      <c r="D24" s="482">
        <f>IF(RIGHT(Type_fusee,1)=".",1,0.15)</f>
        <v>0.15</v>
      </c>
      <c r="E24" s="18" t="str">
        <f>IF(ABS(T_satellite-0.11-T_para)&lt;0.1,"Pb!","")</f>
        <v/>
      </c>
      <c r="F24" s="611" t="str">
        <f>IF(Lang="Français","Vit max &amp; Acc max",IF(Lang="English","Max Velocity &amp; Acc",""))</f>
        <v>Vit max &amp; Acc max</v>
      </c>
      <c r="G24" s="612"/>
      <c r="H24" s="115"/>
      <c r="I24" s="115"/>
      <c r="J24" s="115"/>
      <c r="K24" s="158">
        <f ca="1">MAX(vit_xz)</f>
        <v>188.00645566729168</v>
      </c>
      <c r="L24" s="496">
        <f ca="1">MAX(acc_xz)</f>
        <v>105.55959828125872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407</v>
      </c>
      <c r="D25" s="481"/>
      <c r="F25" s="613" t="str">
        <f>IF(Lang="Français","Largage du satellite",IF(Lang="English","Satellite separation",""))</f>
        <v>Largage du satellite</v>
      </c>
      <c r="G25" s="614"/>
      <c r="H25" s="152">
        <f>IF(T_satellite&lt;&gt;0,T_satellite,"")</f>
        <v>3.5</v>
      </c>
      <c r="I25" s="156" t="e">
        <f ca="1">IF(T_satellite&lt;&gt;0,INDEX(pos_z,MATCH("Satellite",Event_sat,0)),"")</f>
        <v>#N/A</v>
      </c>
      <c r="J25" s="154" t="e">
        <f ca="1">IF(T_satellite&lt;&gt;0,INDEX(pos_x,MATCH("Satellite",Event_sat,0)),"")</f>
        <v>#N/A</v>
      </c>
      <c r="K25" s="159" t="e">
        <f ca="1">IF(T_satellite&lt;&gt;0,INDEX(vit_xz,MATCH("Satellite",Event_sat,0)),"")</f>
        <v>#N/A</v>
      </c>
      <c r="L25" s="497"/>
      <c r="M25" s="487" t="e">
        <f ca="1">1/2*Rho_moyen*1*V_ouv_sat^2*S_satellite</f>
        <v>#N/A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23</v>
      </c>
      <c r="D26" s="469">
        <v>3.5</v>
      </c>
      <c r="F26" s="611" t="s">
        <v>15</v>
      </c>
      <c r="G26" s="612"/>
      <c r="H26" s="153">
        <f ca="1">INDEX(t,MATCH("Apogée",Event,0))</f>
        <v>23.400000000000048</v>
      </c>
      <c r="I26" s="157">
        <f ca="1">INDEX(pos_z,MATCH("Apogée",Event,0))</f>
        <v>2971.9988762080079</v>
      </c>
      <c r="J26" s="155">
        <f ca="1">INDEX(pos_x,MATCH("Apogée",Event,0))</f>
        <v>524.95849142746761</v>
      </c>
      <c r="K26" s="160">
        <f ca="1">INDEX(vit_xz,MATCH("Apogée",Event,0))</f>
        <v>16.852662862048767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0.24</v>
      </c>
      <c r="D27" s="17">
        <f>IF(RIGHT(Type_fusee,1)=".",0.1,0.02)</f>
        <v>0.02</v>
      </c>
      <c r="F27" s="609" t="str">
        <f>IF(Lang="Français","Ouverture parachute fusée",IF(Lang="English","Rocket parachute opening",""))</f>
        <v>Ouverture parachute fusée</v>
      </c>
      <c r="G27" s="610"/>
      <c r="H27" s="152">
        <f>T_para</f>
        <v>23</v>
      </c>
      <c r="I27" s="156">
        <f ca="1">INDEX(pos_z,MATCH("Para",Event_para,0))</f>
        <v>2970.9971417443212</v>
      </c>
      <c r="J27" s="488">
        <f ca="1">INDEX(pos_x,MATCH("Para",Event_para,0))</f>
        <v>518.20509633727534</v>
      </c>
      <c r="K27" s="159">
        <f ca="1">INDEX(vit_xz,MATCH("Para",Event_para,0))</f>
        <v>17.505106414164867</v>
      </c>
      <c r="L27" s="497"/>
      <c r="M27" s="487">
        <f ca="1">1/2*Rho_moyen*1*V_ouverture^2*S_para</f>
        <v>45.045026333971691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/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598" t="str">
        <f>IF(Lang="Français","Impact balistique",IF(Lang="English","Balistic Impact",""))</f>
        <v>Impact balistique</v>
      </c>
      <c r="G28" s="599"/>
      <c r="H28" s="499">
        <f ca="1">INDEX(t,MATCH("Impact balistique",Event,0))</f>
        <v>58.00000000000054</v>
      </c>
      <c r="I28" s="519" t="s">
        <v>428</v>
      </c>
      <c r="J28" s="489">
        <f ca="1">INDEX(pos_x,MATCH("Impact balistique",Event,0))</f>
        <v>809.6451793302748</v>
      </c>
      <c r="K28" s="503">
        <f ca="1">K45</f>
        <v>105.63266885578925</v>
      </c>
      <c r="L28" s="500"/>
      <c r="M28" s="504">
        <f ca="1">0.5*m_vide*K28^2</f>
        <v>9954.8423099098109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/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IF(AND(Portee_balistique&gt;200,LEFT(Type_propu,4)="Mini"),IF(Lang="Français","Fusée trop lègère !","Rocket too light"),"")</f>
        <v>Fusée trop lègère !</v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10.912136100952658</v>
      </c>
      <c r="D30" s="424">
        <f>SQRT(2*m_satellite*g/Rho_moyen/S_satellite/Cx_satellite)</f>
        <v>10.960038730752361</v>
      </c>
      <c r="F30" s="384"/>
      <c r="K30" s="388"/>
      <c r="N30" s="58"/>
      <c r="P30" s="384" t="e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>#N/A</v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272.26540379064238</v>
      </c>
      <c r="D31" s="132" t="e">
        <f ca="1">IF(V_satellite&lt;&gt;0,Alt_sat/V_satellite,0)</f>
        <v>#N/A</v>
      </c>
      <c r="H31" s="600" t="str">
        <f>IF(Lang="Français","Pour localiser la fusée","To locate the rocket")</f>
        <v>Pour localiser la fusée</v>
      </c>
      <c r="I31" s="60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295.26540379064238</v>
      </c>
      <c r="D32" s="132" t="e">
        <f ca="1">T_satellite+Dt_satellite</f>
        <v>#N/A</v>
      </c>
      <c r="F32" s="600" t="str">
        <f>IF(Lang="Français","Couleur fuselage/coiffe","Body/Nose color")</f>
        <v>Couleur fuselage/coiffe</v>
      </c>
      <c r="G32" s="600"/>
      <c r="H32" s="596" t="s">
        <v>555</v>
      </c>
      <c r="I32" s="59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1361.3270189532118</v>
      </c>
      <c r="D33" s="151" t="e">
        <f ca="1">IF(V_satellite&lt;&gt;0,Alt_sat*V_vent_sat/V_satellite,0)</f>
        <v>#N/A</v>
      </c>
      <c r="F33" s="600" t="str">
        <f>IF(Lang="Français","Couleur parachute fusée","Rocket parachute color")</f>
        <v>Couleur parachute fusée</v>
      </c>
      <c r="G33" s="600"/>
      <c r="H33" s="596" t="s">
        <v>554</v>
      </c>
      <c r="I33" s="597"/>
      <c r="N33" s="394" t="str">
        <f>IF(Lang="Français","fichier initial","Initial file")</f>
        <v>fichier initial</v>
      </c>
    </row>
    <row r="34" spans="1:16" x14ac:dyDescent="0.2">
      <c r="A34" s="59"/>
      <c r="F34" s="600" t="str">
        <f>IF(Lang="Français","Couleur parachute satellite","Satellite parachute color")</f>
        <v>Couleur parachute satellite</v>
      </c>
      <c r="G34" s="600"/>
      <c r="H34" s="604" t="s">
        <v>159</v>
      </c>
      <c r="I34" s="604"/>
      <c r="N34" s="393" t="str">
        <f>IF(ROUND(SUM(Propu!5:1228),0)=395253,"propu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544</v>
      </c>
      <c r="P35"/>
    </row>
    <row r="38" spans="1:16" x14ac:dyDescent="0.2">
      <c r="A38" s="601" t="str">
        <f>IF(Lang="Français","Calcul de la surface d'un parachute","Parachute surface calculation")</f>
        <v>Calcul de la surface d'un parachute</v>
      </c>
      <c r="B38" s="602"/>
      <c r="C38" s="602"/>
      <c r="D38" s="603"/>
      <c r="F38" s="601" t="str">
        <f>IF(Lang="Français","Résultats détaillés","Detailled results")</f>
        <v>Résultats détaillés</v>
      </c>
      <c r="G38" s="60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154</v>
      </c>
      <c r="I39" s="136" t="s">
        <v>39</v>
      </c>
      <c r="J39" s="136" t="s">
        <v>39</v>
      </c>
      <c r="K39" s="136" t="s">
        <v>155</v>
      </c>
      <c r="L39" s="136" t="s">
        <v>7</v>
      </c>
      <c r="M39" s="136" t="s">
        <v>156</v>
      </c>
    </row>
    <row r="40" spans="1:16" x14ac:dyDescent="0.2">
      <c r="A40" s="161"/>
      <c r="D40" s="162"/>
      <c r="F40" s="625" t="str">
        <f>IF(Lang="Français","Décollage",IF(Lang="English","Lift-Off",""))</f>
        <v>Décollage</v>
      </c>
      <c r="G40" s="625"/>
      <c r="H40" s="150">
        <v>10.7</v>
      </c>
      <c r="I40" s="150">
        <v>1962.62</v>
      </c>
      <c r="J40" s="150">
        <v>249.76</v>
      </c>
      <c r="K40" s="150">
        <v>137.88</v>
      </c>
      <c r="L40" s="148" t="s">
        <v>14</v>
      </c>
      <c r="M40" s="149">
        <f>Beta_rampe</f>
        <v>80.569999999999993</v>
      </c>
    </row>
    <row r="41" spans="1:16" x14ac:dyDescent="0.2">
      <c r="A41" s="161"/>
      <c r="D41" s="162"/>
      <c r="F41" s="612" t="str">
        <f>IF(Lang="Français","Sortie de Rampe",IF(Lang="English","Launch-Pad Exit",""))</f>
        <v>Sortie de Rampe</v>
      </c>
      <c r="G41" s="612"/>
      <c r="H41" s="115" t="e">
        <f ca="1">INDEX(t,MATCH("Sortie de rampe",Event,0))</f>
        <v>#N/A</v>
      </c>
      <c r="I41" s="115" t="e">
        <f ca="1">INDEX(pos_z,MATCH("Sortie de rampe",Event,0))</f>
        <v>#N/A</v>
      </c>
      <c r="J41" s="115" t="e">
        <f ca="1">INDEX(pos_x,MATCH("Sortie de rampe",Event,0))</f>
        <v>#N/A</v>
      </c>
      <c r="K41" s="116" t="e">
        <f ca="1">INDEX(vit_xz,MATCH("Sortie de rampe",Event,0))</f>
        <v>#N/A</v>
      </c>
      <c r="L41" s="116" t="e">
        <f ca="1">INDEX(acc_xz,MATCH("Sortie de rampe",Event,0))</f>
        <v>#N/A</v>
      </c>
      <c r="M41" s="116" t="e">
        <f ca="1">INDEX(BetaD,MATCH("Sortie de rampe",Event,0))</f>
        <v>#N/A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612" t="str">
        <f>IF(Lang="Français","Vit max &amp; Acc max",IF(Lang="English","Max Velocity &amp; Acc",""))</f>
        <v>Vit max &amp; Acc max</v>
      </c>
      <c r="G42" s="612"/>
      <c r="H42" s="115" t="s">
        <v>14</v>
      </c>
      <c r="I42" s="115" t="s">
        <v>14</v>
      </c>
      <c r="J42" s="115" t="s">
        <v>14</v>
      </c>
      <c r="K42" s="117">
        <f ca="1">MAX(vit_xz)</f>
        <v>188.00645566729168</v>
      </c>
      <c r="L42" s="118">
        <f ca="1">MAX(acc_xz)</f>
        <v>105.55959828125872</v>
      </c>
      <c r="M42" s="116" t="s">
        <v>14</v>
      </c>
    </row>
    <row r="43" spans="1:16" x14ac:dyDescent="0.2">
      <c r="A43" s="161"/>
      <c r="B43" s="167">
        <v>200</v>
      </c>
      <c r="D43" s="162"/>
      <c r="F43" s="612" t="str">
        <f>IF(Lang="Français","Fin de Propulsion",IF(Lang="English","Motor Burn-Out",""))</f>
        <v>Fin de Propulsion</v>
      </c>
      <c r="G43" s="612"/>
      <c r="H43" s="116">
        <f ca="1">INDEX(t,MATCH("Fin de propulsion",Event,0))</f>
        <v>11.789999999999976</v>
      </c>
      <c r="I43" s="119">
        <f ca="1">INDEX(pos_z,MATCH("Fin de propulsion",Event,0))</f>
        <v>2147.4776601808826</v>
      </c>
      <c r="J43" s="119">
        <f ca="1">INDEX(pos_x,MATCH("Fin de propulsion",Event,0))</f>
        <v>281.55612363485687</v>
      </c>
      <c r="K43" s="119">
        <f ca="1">INDEX(vit_xz,MATCH("Fin de propulsion",Event,0))</f>
        <v>181.50255961106254</v>
      </c>
      <c r="L43" s="116">
        <f ca="1">INDEX(acc_xz,MATCH("Fin de propulsion",Event,0))</f>
        <v>34.271880680583834</v>
      </c>
      <c r="M43" s="116">
        <f ca="1">INDEX(BetaD,MATCH("Fin de propulsion",Event,0))</f>
        <v>79.963993215560052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612" t="s">
        <v>15</v>
      </c>
      <c r="G44" s="612"/>
      <c r="H44" s="118">
        <f ca="1">INDEX(t,MATCH("Apogée",Event,0))</f>
        <v>23.400000000000048</v>
      </c>
      <c r="I44" s="117">
        <f ca="1">INDEX(pos_z,MATCH("Apogée",Event,0))</f>
        <v>2971.9988762080079</v>
      </c>
      <c r="J44" s="120">
        <f ca="1">INDEX(pos_x,MATCH("Apogée",Event,0))</f>
        <v>524.95849142746761</v>
      </c>
      <c r="K44" s="120">
        <f ca="1">INDEX(vit_xz,MATCH("Apogée",Event,0))</f>
        <v>16.852662862048767</v>
      </c>
      <c r="L44" s="116">
        <f ca="1">INDEX(acc_xz,MATCH("Apogée",Event,0))</f>
        <v>9.8295114630801237</v>
      </c>
      <c r="M44" s="121">
        <f ca="1">INDEX(BetaD,MATCH("Apogée",Event,0))</f>
        <v>1.8251966293835054</v>
      </c>
    </row>
    <row r="45" spans="1:16" x14ac:dyDescent="0.2">
      <c r="A45" s="161"/>
      <c r="B45" s="168">
        <v>250</v>
      </c>
      <c r="D45" s="162"/>
      <c r="F45" s="627" t="str">
        <f>IF(Lang="Français","Impact balistique",IF(Lang="English","Balistic Impact",""))</f>
        <v>Impact balistique</v>
      </c>
      <c r="G45" s="627"/>
      <c r="H45" s="116">
        <f ca="1">INDEX(t,MATCH("Impact balistique",Event,0))</f>
        <v>58.00000000000054</v>
      </c>
      <c r="I45" s="148" t="s">
        <v>16</v>
      </c>
      <c r="J45" s="117">
        <f ca="1">INDEX(pos_x,MATCH("Impact balistique",Event,0))</f>
        <v>809.6451793302748</v>
      </c>
      <c r="K45" s="119">
        <f ca="1">INDEX(vit_xz,MATCH("Impact balistique",Event,0))</f>
        <v>105.63266885578925</v>
      </c>
      <c r="L45" s="116">
        <f ca="1">INDEX(acc_xz,MATCH("Impact balistique",Event,0))</f>
        <v>0.49926524152199242</v>
      </c>
      <c r="M45" s="116">
        <f ca="1">INDEX(BetaD,MATCH("Impact balistique",Event,0))</f>
        <v>-89.179632881403293</v>
      </c>
    </row>
    <row r="46" spans="1:16" x14ac:dyDescent="0.2">
      <c r="A46" s="161"/>
      <c r="B46" s="169" t="s">
        <v>9</v>
      </c>
      <c r="D46" s="162"/>
      <c r="F46" s="610" t="str">
        <f>IF(Lang="Français","Ouverture parachute fusée",IF(Lang="English","Rocket parachute opening",""))</f>
        <v>Ouverture parachute fusée</v>
      </c>
      <c r="G46" s="610"/>
      <c r="H46" s="122">
        <f>T_para</f>
        <v>23</v>
      </c>
      <c r="I46" s="123">
        <f ca="1">INDEX(pos_z,MATCH("Para",Event_para,0))</f>
        <v>2970.9971417443212</v>
      </c>
      <c r="J46" s="123">
        <f ca="1">INDEX(pos_x,MATCH("Para",Event_para,0))</f>
        <v>518.20509633727534</v>
      </c>
      <c r="K46" s="123">
        <f ca="1">INDEX(vit_xz,MATCH("Para",Event_para,0))</f>
        <v>17.505106414164867</v>
      </c>
      <c r="L46" s="122">
        <f ca="1">INDEX(acc_xz,MATCH("Para",Event_para,0))</f>
        <v>9.8785935029458436</v>
      </c>
      <c r="M46" s="124">
        <f ca="1">INDEX(BetaD,MATCH("Para",Event_para,0))</f>
        <v>14.811168464006315</v>
      </c>
    </row>
    <row r="47" spans="1:16" x14ac:dyDescent="0.2">
      <c r="A47" s="161"/>
      <c r="B47" s="174">
        <f>(4*B43*B45+B43^2)/10^6</f>
        <v>0.24</v>
      </c>
      <c r="D47" s="162"/>
      <c r="F47" s="628" t="str">
        <f>IF(Lang="Français","Impact fusée sous para.",IF(Lang="English","Impact of rocket with para. ",""))</f>
        <v>Impact fusée sous para.</v>
      </c>
      <c r="G47" s="628"/>
      <c r="H47" s="125">
        <f ca="1">T_para+Dt_para</f>
        <v>295.26540379064238</v>
      </c>
      <c r="I47" s="127" t="s">
        <v>16</v>
      </c>
      <c r="J47" s="126" t="str">
        <f ca="1">CONCATENATE(TEXT(X_para-Dx_para,"0")," | ",TEXT(X_para+Dx_para,"0"))</f>
        <v>-843 | 1880</v>
      </c>
      <c r="K47" s="126">
        <f ca="1">V_para</f>
        <v>10.912136100952658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626" t="str">
        <f>IF(Lang="Français","Largage du satellite",IF(Lang="English","Satellite separation",""))</f>
        <v>Largage du satellite</v>
      </c>
      <c r="G48" s="614"/>
      <c r="H48" s="122">
        <f>IF(T_satellite&lt;&gt;0,T_satellite,"")</f>
        <v>3.5</v>
      </c>
      <c r="I48" s="123" t="e">
        <f ca="1">IF(T_satellite&lt;&gt;0,INDEX(pos_z,MATCH("Satellite",Event_sat,0)),"")</f>
        <v>#N/A</v>
      </c>
      <c r="J48" s="129" t="e">
        <f ca="1">IF(T_satellite&lt;&gt;0,INDEX(pos_x,MATCH("Satellite",Event_sat,0)),"")</f>
        <v>#N/A</v>
      </c>
      <c r="K48" s="123" t="e">
        <f ca="1">IF(T_satellite&lt;&gt;0,INDEX(vit_xz,MATCH("Satellite",Event_sat,0)),"")</f>
        <v>#N/A</v>
      </c>
      <c r="L48" s="122" t="e">
        <f ca="1">IF(T_satellite&lt;&gt;0,INDEX(acc_xz,MATCH("Satellite",Event_sat,0)),"")</f>
        <v>#N/A</v>
      </c>
      <c r="M48" s="124" t="e">
        <f ca="1">IF(T_satellite&lt;&gt;0,INDEX(BetaD,MATCH("Satellite",Event_sat,0)),"")</f>
        <v>#N/A</v>
      </c>
    </row>
    <row r="49" spans="1:13" x14ac:dyDescent="0.2">
      <c r="A49" s="161"/>
      <c r="D49" s="162"/>
      <c r="F49" s="623" t="str">
        <f>IF(Lang="Français","Impact du satellite",IF(Lang="English","Satellite impact",""))</f>
        <v>Impact du satellite</v>
      </c>
      <c r="G49" s="624"/>
      <c r="H49" s="125" t="e">
        <f ca="1">IF(T_satellite&lt;&gt;0,T_satellite+Dt_satellite,"")</f>
        <v>#N/A</v>
      </c>
      <c r="I49" s="130" t="str">
        <f>IF(T_satellite&lt;&gt;0,"~0","")</f>
        <v>~0</v>
      </c>
      <c r="J49" s="130" t="e">
        <f ca="1">IF(T_satellite&lt;&gt;0,CONCATENATE(TEXT(X_satellite-Dx_sat,"0")," | ",TEXT(X_satellite+Dx_sat,"0")),"")</f>
        <v>#N/A</v>
      </c>
      <c r="K49" s="130">
        <f>IF(T_satellite&lt;&gt;0,V_satellite,"")</f>
        <v>10.960038730752361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499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0.77961763291484298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407</v>
      </c>
      <c r="G102" s="1" t="s">
        <v>414</v>
      </c>
    </row>
    <row r="103" spans="2:7" x14ac:dyDescent="0.2">
      <c r="F103" s="478">
        <f ca="1">Combustion+Depotage-9</f>
        <v>-8.0299999999999994</v>
      </c>
      <c r="G103" s="479" t="s">
        <v>409</v>
      </c>
    </row>
    <row r="104" spans="2:7" x14ac:dyDescent="0.2">
      <c r="B104" s="1" t="s">
        <v>121</v>
      </c>
      <c r="F104" s="478">
        <f ca="1">Combustion+Depotage-7</f>
        <v>-6.03</v>
      </c>
      <c r="G104" s="479" t="s">
        <v>410</v>
      </c>
    </row>
    <row r="105" spans="2:7" x14ac:dyDescent="0.2">
      <c r="B105" s="1" t="s">
        <v>122</v>
      </c>
      <c r="F105" s="478">
        <f ca="1">Combustion+Depotage-5</f>
        <v>-4.03</v>
      </c>
      <c r="G105" s="479" t="s">
        <v>411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-2.0300000000000002</v>
      </c>
      <c r="G106" s="479" t="s">
        <v>412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0.97</v>
      </c>
      <c r="G107" s="479" t="s">
        <v>413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23</v>
      </c>
    </row>
    <row r="115" spans="2:3" x14ac:dyDescent="0.2">
      <c r="B115" s="1" t="s">
        <v>408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48</v>
      </c>
    </row>
    <row r="118" spans="2:3" x14ac:dyDescent="0.2">
      <c r="C118" s="216">
        <f ca="1">MAX(Altitude_culmi,Portee_balistique)</f>
        <v>2971.9988762080079</v>
      </c>
    </row>
    <row r="119" spans="2:3" x14ac:dyDescent="0.2">
      <c r="B119" s="210" t="s">
        <v>48</v>
      </c>
    </row>
    <row r="120" spans="2:3" x14ac:dyDescent="0.2">
      <c r="B120" s="218">
        <f ca="1">MAX(Altitude_culmi,Portee_balistique)</f>
        <v>2971.9988762080079</v>
      </c>
      <c r="C120" s="211" t="s">
        <v>46</v>
      </c>
    </row>
    <row r="121" spans="2:3" x14ac:dyDescent="0.2">
      <c r="C121" s="214">
        <f ca="1">Alt_para</f>
        <v>2970.9971417443212</v>
      </c>
    </row>
    <row r="122" spans="2:3" x14ac:dyDescent="0.2">
      <c r="B122" s="210" t="s">
        <v>50</v>
      </c>
      <c r="C122" s="214">
        <f ca="1">Alt_para/2</f>
        <v>1485.4985708721606</v>
      </c>
    </row>
    <row r="123" spans="2:3" x14ac:dyDescent="0.2">
      <c r="B123" s="217">
        <f ca="1">X_para</f>
        <v>518.20509633727534</v>
      </c>
      <c r="C123" s="214">
        <v>0</v>
      </c>
    </row>
    <row r="124" spans="2:3" x14ac:dyDescent="0.2">
      <c r="B124" s="217">
        <f ca="1">X_para</f>
        <v>518.20509633727534</v>
      </c>
      <c r="C124" s="214">
        <f ca="1">Alt_para/20</f>
        <v>148.54985708721605</v>
      </c>
    </row>
    <row r="125" spans="2:3" x14ac:dyDescent="0.2">
      <c r="B125" s="217">
        <f ca="1">X_para</f>
        <v>518.20509633727534</v>
      </c>
      <c r="C125" s="214">
        <v>0</v>
      </c>
    </row>
    <row r="126" spans="2:3" x14ac:dyDescent="0.2">
      <c r="B126" s="217">
        <f ca="1">X_para+Alt_para/40</f>
        <v>592.48002488088332</v>
      </c>
      <c r="C126" s="214">
        <f ca="1">Alt_para/20</f>
        <v>148.54985708721605</v>
      </c>
    </row>
    <row r="127" spans="2:3" x14ac:dyDescent="0.2">
      <c r="B127" s="217">
        <f ca="1">X_para</f>
        <v>518.20509633727534</v>
      </c>
      <c r="C127" s="219">
        <v>0</v>
      </c>
    </row>
    <row r="128" spans="2:3" x14ac:dyDescent="0.2">
      <c r="B128" s="217">
        <f ca="1">X_para-Alt_para/40</f>
        <v>443.93016779366729</v>
      </c>
      <c r="C128" s="211" t="s">
        <v>46</v>
      </c>
    </row>
    <row r="129" spans="2:6" x14ac:dyDescent="0.2">
      <c r="B129" s="218">
        <f ca="1">X_para</f>
        <v>518.20509633727534</v>
      </c>
      <c r="C129" s="214">
        <f ca="1">Alt_para</f>
        <v>2970.9971417443212</v>
      </c>
      <c r="E129" s="232">
        <v>1</v>
      </c>
      <c r="F129" s="233" t="s">
        <v>176</v>
      </c>
    </row>
    <row r="130" spans="2:6" x14ac:dyDescent="0.2">
      <c r="B130" s="210" t="s">
        <v>49</v>
      </c>
      <c r="C130" s="214">
        <f ca="1">(C129+C131)/2</f>
        <v>1485.4985708721606</v>
      </c>
      <c r="E130" s="161">
        <v>1</v>
      </c>
      <c r="F130" s="234" t="s">
        <v>177</v>
      </c>
    </row>
    <row r="131" spans="2:6" x14ac:dyDescent="0.2">
      <c r="B131" s="213">
        <f>T_para</f>
        <v>23</v>
      </c>
      <c r="C131" s="214">
        <f>0</f>
        <v>0</v>
      </c>
      <c r="E131" s="161"/>
      <c r="F131" s="241" t="s">
        <v>178</v>
      </c>
    </row>
    <row r="132" spans="2:6" x14ac:dyDescent="0.2">
      <c r="B132" s="213">
        <f ca="1">(B131+B133)/2</f>
        <v>159.13270189532119</v>
      </c>
      <c r="C132" s="214">
        <f ca="1">Alt_para-V_para*(H47-T_para)+E129*sS*Altitude_culmi/H47*zZ_fus+E130*sS/2*Altitude_culmi/H47*tT_fus</f>
        <v>85.296211240808077</v>
      </c>
      <c r="E132" s="235" t="s">
        <v>173</v>
      </c>
      <c r="F132" s="236">
        <f ca="1">T_balistique/10</f>
        <v>5.800000000000054</v>
      </c>
    </row>
    <row r="133" spans="2:6" x14ac:dyDescent="0.2">
      <c r="B133" s="213">
        <f ca="1">H47</f>
        <v>295.26540379064238</v>
      </c>
      <c r="C133" s="214">
        <f ca="1">Alt_para-V_para*(H47-T_para)</f>
        <v>0</v>
      </c>
      <c r="E133" s="235" t="s">
        <v>174</v>
      </c>
      <c r="F133" s="236">
        <f ca="1">(H47-T_para)/H47</f>
        <v>0.92210397931920218</v>
      </c>
    </row>
    <row r="134" spans="2:6" x14ac:dyDescent="0.2">
      <c r="B134" s="213">
        <f ca="1">H47+E129*sS/2*zZ_fus-E130*sS*tT_fus</f>
        <v>292.81720071059101</v>
      </c>
      <c r="C134" s="214">
        <f ca="1">Alt_para-V_para*(H47-T_para)+E129*sS*Altitude_culmi/H47*zZ_fus-E130*sS/2*Altitude_culmi/H47*tT_fus</f>
        <v>31.463783399328669</v>
      </c>
      <c r="E134" s="237" t="s">
        <v>175</v>
      </c>
      <c r="F134" s="238">
        <f ca="1">V_para*(H47-T_para)/Alt_para</f>
        <v>1</v>
      </c>
    </row>
    <row r="135" spans="2:6" x14ac:dyDescent="0.2">
      <c r="B135" s="213">
        <f ca="1">H47</f>
        <v>295.26540379064238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287.01720071059094</v>
      </c>
    </row>
    <row r="137" spans="2:6" x14ac:dyDescent="0.2">
      <c r="B137" s="215">
        <f ca="1">H47</f>
        <v>295.26540379064238</v>
      </c>
      <c r="C137" s="211" t="s">
        <v>47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52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47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51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174</v>
      </c>
      <c r="F150" s="240">
        <f ca="1">(T_balistique-T_satellite)/T_balistique</f>
        <v>0.9396551724137937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175</v>
      </c>
      <c r="F151" s="238" t="e">
        <f ca="1">V_satellite*(T_balistique-T_satellite)/Alt_sat</f>
        <v>#N/A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1485.4985708721606</v>
      </c>
      <c r="D155" s="214">
        <f ca="1">X_para/4</f>
        <v>129.55127408431883</v>
      </c>
    </row>
    <row r="156" spans="2:6" x14ac:dyDescent="0.2">
      <c r="B156" s="210" t="s">
        <v>2</v>
      </c>
      <c r="C156" s="230">
        <f ca="1">Altitude_culmi/2</f>
        <v>1485.999438104004</v>
      </c>
      <c r="D156" s="216">
        <f ca="1">X_culmi+(Portee_balistique-X_culmi)*2/3</f>
        <v>714.74961669600577</v>
      </c>
    </row>
    <row r="157" spans="2:6" x14ac:dyDescent="0.2">
      <c r="B157" s="231">
        <f>T_para/4</f>
        <v>5.75</v>
      </c>
    </row>
    <row r="158" spans="2:6" x14ac:dyDescent="0.2">
      <c r="B158" s="229">
        <f ca="1">Temps_culmi + (T_balistique-Temps_culmi)/2</f>
        <v>40.700000000000294</v>
      </c>
      <c r="C158" s="228" t="s">
        <v>302</v>
      </c>
      <c r="D158" s="422" t="s">
        <v>304</v>
      </c>
      <c r="E158" s="422"/>
      <c r="F158" s="423" t="s">
        <v>304</v>
      </c>
    </row>
    <row r="159" spans="2:6" x14ac:dyDescent="0.2">
      <c r="C159" s="5">
        <v>0</v>
      </c>
      <c r="D159" s="82">
        <f t="shared" ref="D159:D174" ca="1" si="0">X_culmi+C159</f>
        <v>524.95849142746761</v>
      </c>
      <c r="E159" s="82"/>
      <c r="F159" s="214">
        <f t="shared" ref="F159:F174" ca="1" si="1">X_culmi-C159</f>
        <v>524.95849142746761</v>
      </c>
    </row>
    <row r="160" spans="2:6" x14ac:dyDescent="0.2">
      <c r="B160" s="210" t="s">
        <v>303</v>
      </c>
      <c r="C160" s="5">
        <v>23</v>
      </c>
      <c r="D160" s="82">
        <f t="shared" ca="1" si="0"/>
        <v>547.95849142746761</v>
      </c>
      <c r="E160" s="82"/>
      <c r="F160" s="214">
        <f t="shared" ca="1" si="1"/>
        <v>501.95849142746761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547.95849142746761</v>
      </c>
      <c r="E161" s="82"/>
      <c r="F161" s="214">
        <f t="shared" ca="1" si="1"/>
        <v>501.95849142746761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524.95849142746761</v>
      </c>
      <c r="E162" s="82"/>
      <c r="F162" s="214">
        <f t="shared" ca="1" si="1"/>
        <v>524.95849142746761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547.95849142746761</v>
      </c>
      <c r="E163" s="82"/>
      <c r="F163" s="214">
        <f t="shared" ca="1" si="1"/>
        <v>501.95849142746761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547.95849142746761</v>
      </c>
      <c r="E164" s="82"/>
      <c r="F164" s="214">
        <f t="shared" ca="1" si="1"/>
        <v>501.95849142746761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532.95849142746761</v>
      </c>
      <c r="E165" s="82"/>
      <c r="F165" s="214">
        <f t="shared" ca="1" si="1"/>
        <v>516.95849142746761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532.95849142746761</v>
      </c>
      <c r="E166" s="82"/>
      <c r="F166" s="214">
        <f t="shared" ca="1" si="1"/>
        <v>516.95849142746761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547.95849142746761</v>
      </c>
      <c r="E167" s="82"/>
      <c r="F167" s="214">
        <f t="shared" ca="1" si="1"/>
        <v>501.95849142746761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532.95849142746761</v>
      </c>
      <c r="E168" s="82"/>
      <c r="F168" s="214">
        <f t="shared" ca="1" si="1"/>
        <v>516.95849142746761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532.55849142746763</v>
      </c>
      <c r="E169" s="82"/>
      <c r="F169" s="214">
        <f t="shared" ca="1" si="1"/>
        <v>517.35849142746758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531.75849142746756</v>
      </c>
      <c r="E170" s="82"/>
      <c r="F170" s="214">
        <f t="shared" ca="1" si="1"/>
        <v>518.15849142746765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530.95849142746761</v>
      </c>
      <c r="E171" s="82"/>
      <c r="F171" s="214">
        <f t="shared" ca="1" si="1"/>
        <v>518.95849142746761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529.95849142746761</v>
      </c>
      <c r="E172" s="82"/>
      <c r="F172" s="214">
        <f t="shared" ca="1" si="1"/>
        <v>519.95849142746761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528.75849142746756</v>
      </c>
      <c r="E173" s="82"/>
      <c r="F173" s="214">
        <f t="shared" ca="1" si="1"/>
        <v>521.15849142746765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524.95849142746761</v>
      </c>
      <c r="E174" s="230"/>
      <c r="F174" s="216">
        <f t="shared" ca="1" si="1"/>
        <v>524.95849142746761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306</v>
      </c>
      <c r="D176" s="228" t="s">
        <v>307</v>
      </c>
      <c r="E176" s="228"/>
      <c r="F176" s="211" t="s">
        <v>307</v>
      </c>
    </row>
    <row r="177" spans="2:6" x14ac:dyDescent="0.2">
      <c r="C177" s="5">
        <v>0</v>
      </c>
      <c r="D177" s="82">
        <f t="shared" ref="D177:D197" ca="1" si="2">X_culmi+C177</f>
        <v>524.95849142746761</v>
      </c>
      <c r="E177" s="82"/>
      <c r="F177" s="214">
        <f t="shared" ref="F177:F197" ca="1" si="3">X_culmi-C177</f>
        <v>524.95849142746761</v>
      </c>
    </row>
    <row r="178" spans="2:6" x14ac:dyDescent="0.2">
      <c r="B178" s="210" t="s">
        <v>305</v>
      </c>
      <c r="C178" s="5">
        <v>0</v>
      </c>
      <c r="D178" s="82">
        <f t="shared" ca="1" si="2"/>
        <v>524.95849142746761</v>
      </c>
      <c r="E178" s="82"/>
      <c r="F178" s="214">
        <f t="shared" ca="1" si="3"/>
        <v>524.95849142746761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534.95849142746761</v>
      </c>
      <c r="E179" s="82"/>
      <c r="F179" s="214">
        <f t="shared" ca="1" si="3"/>
        <v>514.95849142746761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524.95849142746761</v>
      </c>
      <c r="E180" s="82"/>
      <c r="F180" s="214">
        <f t="shared" ca="1" si="3"/>
        <v>524.95849142746761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534.95849142746761</v>
      </c>
      <c r="E181" s="82"/>
      <c r="F181" s="214">
        <f t="shared" ca="1" si="3"/>
        <v>514.95849142746761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537.95849142746761</v>
      </c>
      <c r="E182" s="82"/>
      <c r="F182" s="214">
        <f t="shared" ca="1" si="3"/>
        <v>511.95849142746761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541.95849142746761</v>
      </c>
      <c r="E183" s="82"/>
      <c r="F183" s="214">
        <f t="shared" ca="1" si="3"/>
        <v>507.95849142746761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544.95849142746761</v>
      </c>
      <c r="E184" s="82"/>
      <c r="F184" s="214">
        <f t="shared" ca="1" si="3"/>
        <v>504.95849142746761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549.95849142746761</v>
      </c>
      <c r="E185" s="82"/>
      <c r="F185" s="214">
        <f t="shared" ca="1" si="3"/>
        <v>499.95849142746761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554.95849142746761</v>
      </c>
      <c r="E186" s="82"/>
      <c r="F186" s="214">
        <f t="shared" ca="1" si="3"/>
        <v>494.95849142746761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560.95849142746761</v>
      </c>
      <c r="E187" s="82"/>
      <c r="F187" s="214">
        <f t="shared" ca="1" si="3"/>
        <v>488.95849142746761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572.95849142746761</v>
      </c>
      <c r="E188" s="82"/>
      <c r="F188" s="214">
        <f t="shared" ca="1" si="3"/>
        <v>476.95849142746761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586.95849142746761</v>
      </c>
      <c r="E189" s="82"/>
      <c r="F189" s="214">
        <f t="shared" ca="1" si="3"/>
        <v>462.95849142746761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561.95849142746761</v>
      </c>
      <c r="E190" s="82"/>
      <c r="F190" s="214">
        <f t="shared" ca="1" si="3"/>
        <v>487.95849142746761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554.95849142746761</v>
      </c>
      <c r="E191" s="82"/>
      <c r="F191" s="214">
        <f t="shared" ca="1" si="3"/>
        <v>494.95849142746761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539.95849142746761</v>
      </c>
      <c r="E192" s="82"/>
      <c r="F192" s="214">
        <f t="shared" ca="1" si="3"/>
        <v>509.95849142746761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524.95849142746761</v>
      </c>
      <c r="E193" s="82"/>
      <c r="F193" s="214">
        <f t="shared" ca="1" si="3"/>
        <v>524.95849142746761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524.95849142746761</v>
      </c>
      <c r="E194" s="82"/>
      <c r="F194" s="214">
        <f t="shared" ca="1" si="3"/>
        <v>524.95849142746761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541.95849142746761</v>
      </c>
      <c r="E195" s="82"/>
      <c r="F195" s="214">
        <f t="shared" ca="1" si="3"/>
        <v>507.95849142746761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535.95849142746761</v>
      </c>
      <c r="E196" s="82"/>
      <c r="F196" s="214">
        <f t="shared" ca="1" si="3"/>
        <v>513.95849142746761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524.95849142746761</v>
      </c>
      <c r="E197" s="230"/>
      <c r="F197" s="216">
        <f t="shared" ca="1" si="3"/>
        <v>524.95849142746761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  <mergeCell ref="C15:D15"/>
    <mergeCell ref="C10:D10"/>
    <mergeCell ref="C19:D19"/>
    <mergeCell ref="C20:D20"/>
    <mergeCell ref="C11:D11"/>
    <mergeCell ref="C13:D13"/>
    <mergeCell ref="C14:D14"/>
    <mergeCell ref="C18:D18"/>
    <mergeCell ref="C22:D22"/>
    <mergeCell ref="C17:D17"/>
    <mergeCell ref="F23:G23"/>
    <mergeCell ref="F27:G27"/>
    <mergeCell ref="F26:G26"/>
    <mergeCell ref="F24:G24"/>
    <mergeCell ref="F25:G25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:D3"/>
    <mergeCell ref="C7:D7"/>
    <mergeCell ref="C8:D8"/>
    <mergeCell ref="C9:D9"/>
    <mergeCell ref="C6:D6"/>
    <mergeCell ref="C4:D4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AND(Portee_balistique&gt;200,LEFT(Type_propu,4)="Mini")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00000000-0002-0000-0100-000000000000}">
      <formula1>0</formula1>
    </dataValidation>
    <dataValidation type="list" allowBlank="1" showInputMessage="1" showErrorMessage="1" sqref="H50" xr:uid="{00000000-0002-0000-0100-000001000000}">
      <formula1>gao</formula1>
    </dataValidation>
    <dataValidation operator="greaterThanOrEqual" showErrorMessage="1" sqref="D29 C27" xr:uid="{00000000-0002-0000-0100-000002000000}"/>
    <dataValidation type="decimal" errorStyle="warning" allowBlank="1" showErrorMessage="1" errorTitle="Cx para" error="Le Cx du parachute est souvent compris entre 0 et 2._x000a_Cx of parachute might be between 0 a 2." sqref="C28:D28" xr:uid="{00000000-0002-0000-0100-000003000000}">
      <formula1>0</formula1>
      <formula2>2</formula2>
    </dataValidation>
    <dataValidation sqref="C11:D11" xr:uid="{00000000-0002-0000-0100-000004000000}"/>
    <dataValidation operator="greaterThanOrEqual" sqref="C10:D10" xr:uid="{00000000-0002-0000-0100-000005000000}"/>
    <dataValidation type="decimal" errorStyle="warning" showErrorMessage="1" errorTitle="Cx" error="Le Cx est souvent compris entre 0,3 et 0,7._x000a_Cx may be between 0,3 &amp; 0,7." sqref="C15:D15" xr:uid="{00000000-0002-0000-0100-000006000000}">
      <formula1>0.3</formula1>
      <formula2>0.7</formula2>
    </dataValidation>
    <dataValidation type="decimal" operator="greaterThanOrEqual" allowBlank="1" showErrorMessage="1" sqref="C18:D18" xr:uid="{00000000-0002-0000-0100-000007000000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00000000-0002-0000-0100-000008000000}">
      <formula1>75</formula1>
      <formula2>85</formula2>
    </dataValidation>
    <dataValidation type="whole" operator="greaterThanOrEqual" allowBlank="1" showErrorMessage="1" sqref="C20:D20" xr:uid="{00000000-0002-0000-0100-000009000000}">
      <formula1>0</formula1>
    </dataValidation>
    <dataValidation type="whole" allowBlank="1" showErrorMessage="1" sqref="M40" xr:uid="{00000000-0002-0000-0100-00000A000000}">
      <formula1>-360</formula1>
      <formula2>360</formula2>
    </dataValidation>
    <dataValidation type="list" showInputMessage="1" showErrorMessage="1" sqref="D23" xr:uid="{00000000-0002-0000-0100-00000B000000}">
      <formula1>Menu_sat</formula1>
    </dataValidation>
    <dataValidation type="whole" operator="greaterThanOrEqual" showErrorMessage="1" sqref="B43 B45 B51 B53" xr:uid="{00000000-0002-0000-0100-00000C000000}">
      <formula1>0</formula1>
    </dataValidation>
    <dataValidation type="list" showInputMessage="1" showErrorMessage="1" sqref="C25" xr:uid="{00000000-0002-0000-0100-00000D000000}">
      <formula1>IF(Depotage&lt;&gt;0,IF(LEFT(Type_propu,5)="Micro",$F$108,$F$103:$F$108),$F$102)</formula1>
    </dataValidation>
  </dataValidations>
  <hyperlinks>
    <hyperlink ref="B11" location="Stabilito!C17" display="Stabilito!C17" xr:uid="{00000000-0004-0000-0100-000000000000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 r:id="rId1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4" name="Spinner 1064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5" name="Spinner 1229">
              <controlPr defaultSize="0" print="0" autoPict="0">
                <anchor moveWithCells="1" sizeWithCells="1">
                  <from>
                    <xdr:col>1</xdr:col>
                    <xdr:colOff>981075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6" name="Spinner 1230">
              <controlPr defaultSize="0" print="0" autoPict="0">
                <anchor moveWithCells="1" sizeWithCells="1">
                  <from>
                    <xdr:col>1</xdr:col>
                    <xdr:colOff>981075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7" name="Spinner 1231">
              <controlPr defaultSize="0" print="0" autoPict="0">
                <anchor moveWithCells="1" sizeWithCells="1">
                  <from>
                    <xdr:col>1</xdr:col>
                    <xdr:colOff>981075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8" name="Spinner 4550">
              <controlPr defaultSize="0" print="0" autoPict="0">
                <anchor moveWithCells="1" sizeWithCells="1">
                  <from>
                    <xdr:col>1</xdr:col>
                    <xdr:colOff>981075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B75:B146"/>
  <sheetViews>
    <sheetView showGridLines="0" topLeftCell="A31" zoomScaleNormal="100" workbookViewId="0">
      <selection activeCell="M67" sqref="M67"/>
    </sheetView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>
    <pageSetUpPr fitToPage="1"/>
  </sheetPr>
  <dimension ref="A1:Z346"/>
  <sheetViews>
    <sheetView showGridLines="0" zoomScale="80" zoomScaleNormal="80" workbookViewId="0">
      <selection activeCell="K6" sqref="K6"/>
    </sheetView>
  </sheetViews>
  <sheetFormatPr baseColWidth="10" defaultRowHeight="12.75" x14ac:dyDescent="0.2"/>
  <cols>
    <col min="1" max="1" width="22.4257812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Pandora (Pro24-6G BS)</v>
      </c>
      <c r="B2" s="352">
        <f>VLOOKUP(A2,A26:B314,2,FALSE)</f>
        <v>198</v>
      </c>
      <c r="C2" s="363" t="s">
        <v>116</v>
      </c>
      <c r="D2" s="353">
        <f ca="1">INDIRECT(ADDRESS(B2,4))</f>
        <v>142.44</v>
      </c>
      <c r="E2" s="363" t="s">
        <v>115</v>
      </c>
      <c r="F2" s="354">
        <f ca="1">INDIRECT(ADDRESS(B2,6))</f>
        <v>192.06187401906058</v>
      </c>
      <c r="G2" s="363" t="s">
        <v>57</v>
      </c>
      <c r="H2" s="355">
        <f ca="1">INDIRECT(ADDRESS(B2,8))</f>
        <v>0.15989999999999999</v>
      </c>
      <c r="I2" s="363" t="s">
        <v>272</v>
      </c>
      <c r="J2" s="356">
        <f ca="1">INDIRECT(ADDRESS(B2,10))</f>
        <v>7.5599999999999987E-2</v>
      </c>
      <c r="K2" s="363" t="s">
        <v>59</v>
      </c>
      <c r="L2" s="355">
        <f ca="1">INDIRECT(ADDRESS(B2,12))</f>
        <v>8.43E-2</v>
      </c>
      <c r="M2" s="363" t="s">
        <v>58</v>
      </c>
      <c r="N2" s="357">
        <f ca="1">INDIRECT(ADDRESS(B2,14))</f>
        <v>114</v>
      </c>
      <c r="O2" s="363" t="s">
        <v>60</v>
      </c>
      <c r="P2" s="357">
        <f ca="1">INDIRECT(ADDRESS(B2,16))</f>
        <v>114</v>
      </c>
      <c r="Q2" s="363" t="s">
        <v>61</v>
      </c>
      <c r="R2" s="357">
        <f ca="1">INDIRECT(ADDRESS(B2,18))</f>
        <v>228</v>
      </c>
      <c r="S2" s="363" t="s">
        <v>62</v>
      </c>
      <c r="T2" s="357">
        <f ca="1">INDIRECT(ADDRESS(B2,20))</f>
        <v>24</v>
      </c>
      <c r="U2" s="363" t="s">
        <v>55</v>
      </c>
      <c r="V2" s="358" t="str">
        <f ca="1">INDIRECT(ADDRESS(B2,22))</f>
        <v>MiniN</v>
      </c>
      <c r="W2" s="463" t="s">
        <v>394</v>
      </c>
      <c r="X2" s="464">
        <f ca="1">INDIRECT(ADDRESS(B2,24))</f>
        <v>0.97</v>
      </c>
      <c r="Y2" s="463" t="s">
        <v>393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0.02</v>
      </c>
      <c r="D3" s="365">
        <f t="shared" ca="1" si="0"/>
        <v>0.04</v>
      </c>
      <c r="E3" s="365">
        <f t="shared" ca="1" si="0"/>
        <v>0.62</v>
      </c>
      <c r="F3" s="365">
        <f t="shared" ca="1" si="0"/>
        <v>0.66</v>
      </c>
      <c r="G3" s="365">
        <f t="shared" ca="1" si="0"/>
        <v>0.68</v>
      </c>
      <c r="H3" s="365">
        <f t="shared" ca="1" si="0"/>
        <v>0.8</v>
      </c>
      <c r="I3" s="365">
        <f t="shared" ca="1" si="0"/>
        <v>0.84</v>
      </c>
      <c r="J3" s="365">
        <f t="shared" ca="1" si="0"/>
        <v>0.88</v>
      </c>
      <c r="K3" s="365">
        <f t="shared" ca="1" si="0"/>
        <v>0.92</v>
      </c>
      <c r="L3" s="365">
        <f t="shared" ca="1" si="0"/>
        <v>0.96</v>
      </c>
      <c r="M3" s="365">
        <f t="shared" ca="1" si="0"/>
        <v>1</v>
      </c>
      <c r="N3" s="365">
        <f t="shared" ca="1" si="0"/>
        <v>1.08</v>
      </c>
      <c r="O3" s="365">
        <f t="shared" ca="1" si="0"/>
        <v>2</v>
      </c>
      <c r="P3" s="365">
        <f t="shared" ca="1" si="0"/>
        <v>2</v>
      </c>
      <c r="Q3" s="365">
        <f t="shared" ca="1" si="0"/>
        <v>2</v>
      </c>
      <c r="R3" s="365">
        <f t="shared" ca="1" si="0"/>
        <v>2</v>
      </c>
      <c r="S3" s="365">
        <f t="shared" ca="1" si="0"/>
        <v>2</v>
      </c>
      <c r="T3" s="365">
        <f t="shared" ca="1" si="0"/>
        <v>2</v>
      </c>
      <c r="U3" s="365">
        <f t="shared" ca="1" si="0"/>
        <v>2</v>
      </c>
      <c r="V3" s="365">
        <f t="shared" ca="1" si="0"/>
        <v>2</v>
      </c>
      <c r="W3" s="365">
        <f t="shared" ca="1" si="0"/>
        <v>2</v>
      </c>
      <c r="X3" s="365">
        <f ca="1">INDIRECT(ADDRESS($B2+1,COLUMN(X3)))</f>
        <v>2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250</v>
      </c>
      <c r="D4" s="368">
        <f t="shared" ca="1" si="1"/>
        <v>210</v>
      </c>
      <c r="E4" s="368">
        <f t="shared" ca="1" si="1"/>
        <v>160</v>
      </c>
      <c r="F4" s="368">
        <f t="shared" ca="1" si="1"/>
        <v>150</v>
      </c>
      <c r="G4" s="368">
        <f t="shared" ca="1" si="1"/>
        <v>142</v>
      </c>
      <c r="H4" s="368">
        <f t="shared" ca="1" si="1"/>
        <v>62</v>
      </c>
      <c r="I4" s="368">
        <f t="shared" ca="1" si="1"/>
        <v>48</v>
      </c>
      <c r="J4" s="368">
        <f t="shared" ca="1" si="1"/>
        <v>34</v>
      </c>
      <c r="K4" s="368">
        <f t="shared" ca="1" si="1"/>
        <v>24</v>
      </c>
      <c r="L4" s="368">
        <f t="shared" ca="1" si="1"/>
        <v>15</v>
      </c>
      <c r="M4" s="368">
        <f t="shared" ca="1" si="1"/>
        <v>10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275</v>
      </c>
    </row>
    <row r="26" spans="1:25" ht="13.5" thickBot="1" x14ac:dyDescent="0.25">
      <c r="A26" s="361" t="s">
        <v>308</v>
      </c>
      <c r="B26" s="359">
        <f>ROW(A26)</f>
        <v>26</v>
      </c>
      <c r="C26" s="363" t="s">
        <v>116</v>
      </c>
      <c r="D26" s="353">
        <f>SUM(B29:Y29)</f>
        <v>9.8449999999999989</v>
      </c>
      <c r="E26" s="363" t="s">
        <v>115</v>
      </c>
      <c r="F26" s="399">
        <f>D26/g/J26</f>
        <v>3.3452259599048584</v>
      </c>
      <c r="G26" s="363" t="s">
        <v>57</v>
      </c>
      <c r="H26" s="64">
        <v>0.3</v>
      </c>
      <c r="I26" s="363" t="s">
        <v>270</v>
      </c>
      <c r="J26" s="355">
        <f>H26-L26</f>
        <v>0.3</v>
      </c>
      <c r="K26" s="363" t="s">
        <v>271</v>
      </c>
      <c r="L26" s="64">
        <v>0</v>
      </c>
      <c r="M26" s="363" t="s">
        <v>58</v>
      </c>
      <c r="N26" s="65">
        <f>0.2*R26</f>
        <v>60</v>
      </c>
      <c r="O26" s="363" t="s">
        <v>60</v>
      </c>
      <c r="P26" s="65">
        <v>150</v>
      </c>
      <c r="Q26" s="363" t="s">
        <v>61</v>
      </c>
      <c r="R26" s="65">
        <v>300</v>
      </c>
      <c r="S26" s="363" t="s">
        <v>62</v>
      </c>
      <c r="T26" s="65">
        <v>90</v>
      </c>
      <c r="U26" s="363" t="s">
        <v>55</v>
      </c>
      <c r="V26" s="66" t="s">
        <v>275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117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309</v>
      </c>
      <c r="B31" s="359">
        <f>ROW(A31)</f>
        <v>31</v>
      </c>
      <c r="C31" s="363" t="s">
        <v>116</v>
      </c>
      <c r="D31" s="353">
        <f>SUM(B34:Y34)</f>
        <v>13.814500000000002</v>
      </c>
      <c r="E31" s="363" t="s">
        <v>115</v>
      </c>
      <c r="F31" s="399">
        <f>D31/g/J31</f>
        <v>3.1293464718541175</v>
      </c>
      <c r="G31" s="363" t="s">
        <v>57</v>
      </c>
      <c r="H31" s="64">
        <v>0.45</v>
      </c>
      <c r="I31" s="363" t="s">
        <v>270</v>
      </c>
      <c r="J31" s="355">
        <f>H31-L31</f>
        <v>0.45</v>
      </c>
      <c r="K31" s="363" t="s">
        <v>271</v>
      </c>
      <c r="L31" s="64">
        <v>0</v>
      </c>
      <c r="M31" s="363" t="s">
        <v>58</v>
      </c>
      <c r="N31" s="65">
        <f>0.3*R31</f>
        <v>90</v>
      </c>
      <c r="O31" s="363" t="s">
        <v>60</v>
      </c>
      <c r="P31" s="65">
        <v>150</v>
      </c>
      <c r="Q31" s="363" t="s">
        <v>61</v>
      </c>
      <c r="R31" s="65">
        <v>300</v>
      </c>
      <c r="S31" s="363" t="s">
        <v>62</v>
      </c>
      <c r="T31" s="65">
        <v>90</v>
      </c>
      <c r="U31" s="363" t="s">
        <v>55</v>
      </c>
      <c r="V31" s="66" t="s">
        <v>275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117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310</v>
      </c>
      <c r="B36" s="359">
        <f>ROW(A36)</f>
        <v>36</v>
      </c>
      <c r="C36" s="363" t="s">
        <v>116</v>
      </c>
      <c r="D36" s="353">
        <f>SUM(B39:Y39)</f>
        <v>17.144499999999997</v>
      </c>
      <c r="E36" s="363" t="s">
        <v>115</v>
      </c>
      <c r="F36" s="399">
        <f>D36/g/J36</f>
        <v>2.9127590893645934</v>
      </c>
      <c r="G36" s="363" t="s">
        <v>57</v>
      </c>
      <c r="H36" s="64">
        <v>0.6</v>
      </c>
      <c r="I36" s="363" t="s">
        <v>270</v>
      </c>
      <c r="J36" s="355">
        <f>H36-L36</f>
        <v>0.6</v>
      </c>
      <c r="K36" s="363" t="s">
        <v>271</v>
      </c>
      <c r="L36" s="64">
        <v>0</v>
      </c>
      <c r="M36" s="363" t="s">
        <v>58</v>
      </c>
      <c r="N36" s="65">
        <f>0.4*R36</f>
        <v>120</v>
      </c>
      <c r="O36" s="363" t="s">
        <v>60</v>
      </c>
      <c r="P36" s="65">
        <v>150</v>
      </c>
      <c r="Q36" s="363" t="s">
        <v>61</v>
      </c>
      <c r="R36" s="65">
        <v>300</v>
      </c>
      <c r="S36" s="363" t="s">
        <v>62</v>
      </c>
      <c r="T36" s="65">
        <v>90</v>
      </c>
      <c r="U36" s="363" t="s">
        <v>55</v>
      </c>
      <c r="V36" s="66" t="s">
        <v>275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117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311</v>
      </c>
      <c r="B41" s="359">
        <f>ROW(A41)</f>
        <v>41</v>
      </c>
      <c r="C41" s="363" t="s">
        <v>116</v>
      </c>
      <c r="D41" s="353">
        <f>SUM(B44:Y44)</f>
        <v>19.415000000000003</v>
      </c>
      <c r="E41" s="363" t="s">
        <v>115</v>
      </c>
      <c r="F41" s="399">
        <f>D41/g/J41</f>
        <v>2.6388039415562354</v>
      </c>
      <c r="G41" s="363" t="s">
        <v>57</v>
      </c>
      <c r="H41" s="64">
        <v>0.75</v>
      </c>
      <c r="I41" s="363" t="s">
        <v>270</v>
      </c>
      <c r="J41" s="355">
        <f>H41-L41</f>
        <v>0.75</v>
      </c>
      <c r="K41" s="363" t="s">
        <v>271</v>
      </c>
      <c r="L41" s="64">
        <v>0</v>
      </c>
      <c r="M41" s="363" t="s">
        <v>58</v>
      </c>
      <c r="N41" s="65">
        <f>0.5*R41</f>
        <v>150</v>
      </c>
      <c r="O41" s="363" t="s">
        <v>60</v>
      </c>
      <c r="P41" s="65">
        <v>150</v>
      </c>
      <c r="Q41" s="363" t="s">
        <v>61</v>
      </c>
      <c r="R41" s="65">
        <v>300</v>
      </c>
      <c r="S41" s="363" t="s">
        <v>62</v>
      </c>
      <c r="T41" s="65">
        <v>90</v>
      </c>
      <c r="U41" s="363" t="s">
        <v>55</v>
      </c>
      <c r="V41" s="66" t="s">
        <v>275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117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276</v>
      </c>
      <c r="B46" s="359">
        <f>ROW(A46)</f>
        <v>46</v>
      </c>
      <c r="C46" s="363" t="s">
        <v>116</v>
      </c>
      <c r="D46" s="353">
        <f>SUM(B49:Y49)</f>
        <v>12.8695</v>
      </c>
      <c r="E46" s="363" t="s">
        <v>115</v>
      </c>
      <c r="F46" s="399">
        <f>D46/g/J46</f>
        <v>3.2796890927624869</v>
      </c>
      <c r="G46" s="363" t="s">
        <v>57</v>
      </c>
      <c r="H46" s="64">
        <v>0.5</v>
      </c>
      <c r="I46" s="363" t="s">
        <v>270</v>
      </c>
      <c r="J46" s="355">
        <f>H46-L46</f>
        <v>0.4</v>
      </c>
      <c r="K46" s="363" t="s">
        <v>271</v>
      </c>
      <c r="L46" s="64">
        <v>0.1</v>
      </c>
      <c r="M46" s="363" t="s">
        <v>58</v>
      </c>
      <c r="N46" s="65">
        <f>0.2*R46</f>
        <v>60</v>
      </c>
      <c r="O46" s="363" t="s">
        <v>60</v>
      </c>
      <c r="P46" s="65">
        <v>150</v>
      </c>
      <c r="Q46" s="363" t="s">
        <v>61</v>
      </c>
      <c r="R46" s="65">
        <v>300</v>
      </c>
      <c r="S46" s="363" t="s">
        <v>62</v>
      </c>
      <c r="T46" s="65">
        <v>98</v>
      </c>
      <c r="U46" s="363" t="s">
        <v>55</v>
      </c>
      <c r="V46" s="66" t="s">
        <v>275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117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277</v>
      </c>
      <c r="B51" s="359">
        <f>ROW(A51)</f>
        <v>51</v>
      </c>
      <c r="C51" s="363" t="s">
        <v>116</v>
      </c>
      <c r="D51" s="353">
        <f>SUM(B54:Y54)</f>
        <v>18.123500000000003</v>
      </c>
      <c r="E51" s="363" t="s">
        <v>115</v>
      </c>
      <c r="F51" s="399">
        <f>D51/g/J51</f>
        <v>3.0790859667006463</v>
      </c>
      <c r="G51" s="363" t="s">
        <v>57</v>
      </c>
      <c r="H51" s="64">
        <v>0.7</v>
      </c>
      <c r="I51" s="363" t="s">
        <v>270</v>
      </c>
      <c r="J51" s="355">
        <f>H51-L51</f>
        <v>0.6</v>
      </c>
      <c r="K51" s="363" t="s">
        <v>271</v>
      </c>
      <c r="L51" s="64">
        <v>0.1</v>
      </c>
      <c r="M51" s="363" t="s">
        <v>58</v>
      </c>
      <c r="N51" s="65">
        <f>0.3*R51</f>
        <v>90</v>
      </c>
      <c r="O51" s="363" t="s">
        <v>60</v>
      </c>
      <c r="P51" s="65">
        <v>150</v>
      </c>
      <c r="Q51" s="363" t="s">
        <v>61</v>
      </c>
      <c r="R51" s="65">
        <v>300</v>
      </c>
      <c r="S51" s="363" t="s">
        <v>62</v>
      </c>
      <c r="T51" s="65">
        <v>98</v>
      </c>
      <c r="U51" s="363" t="s">
        <v>55</v>
      </c>
      <c r="V51" s="66" t="s">
        <v>275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117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278</v>
      </c>
      <c r="B56" s="359">
        <f>ROW(A56)</f>
        <v>56</v>
      </c>
      <c r="C56" s="363" t="s">
        <v>116</v>
      </c>
      <c r="D56" s="353">
        <f>SUM(B59:Y59)</f>
        <v>22.610000000000003</v>
      </c>
      <c r="E56" s="363" t="s">
        <v>115</v>
      </c>
      <c r="F56" s="399">
        <f>D56/g/J56</f>
        <v>2.88098878695209</v>
      </c>
      <c r="G56" s="363" t="s">
        <v>57</v>
      </c>
      <c r="H56" s="64">
        <v>0.9</v>
      </c>
      <c r="I56" s="363" t="s">
        <v>270</v>
      </c>
      <c r="J56" s="355">
        <f>H56-L56</f>
        <v>0.8</v>
      </c>
      <c r="K56" s="363" t="s">
        <v>271</v>
      </c>
      <c r="L56" s="64">
        <v>0.1</v>
      </c>
      <c r="M56" s="363" t="s">
        <v>58</v>
      </c>
      <c r="N56" s="65">
        <f>0.4*R56</f>
        <v>120</v>
      </c>
      <c r="O56" s="363" t="s">
        <v>60</v>
      </c>
      <c r="P56" s="65">
        <v>150</v>
      </c>
      <c r="Q56" s="363" t="s">
        <v>61</v>
      </c>
      <c r="R56" s="65">
        <v>300</v>
      </c>
      <c r="S56" s="363" t="s">
        <v>62</v>
      </c>
      <c r="T56" s="65">
        <v>98</v>
      </c>
      <c r="U56" s="363" t="s">
        <v>55</v>
      </c>
      <c r="V56" s="66" t="s">
        <v>275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117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279</v>
      </c>
      <c r="B61" s="359">
        <f>ROW(A61)</f>
        <v>61</v>
      </c>
      <c r="C61" s="363" t="s">
        <v>116</v>
      </c>
      <c r="D61" s="353">
        <f>SUM(B64:Y64)</f>
        <v>25.874000000000006</v>
      </c>
      <c r="E61" s="363" t="s">
        <v>115</v>
      </c>
      <c r="F61" s="399">
        <f>D61/g/J61</f>
        <v>2.6375127420998985</v>
      </c>
      <c r="G61" s="363" t="s">
        <v>57</v>
      </c>
      <c r="H61" s="64">
        <v>1.1000000000000001</v>
      </c>
      <c r="I61" s="363" t="s">
        <v>270</v>
      </c>
      <c r="J61" s="355">
        <f>H61-L61</f>
        <v>1</v>
      </c>
      <c r="K61" s="363" t="s">
        <v>271</v>
      </c>
      <c r="L61" s="64">
        <v>0.1</v>
      </c>
      <c r="M61" s="363" t="s">
        <v>58</v>
      </c>
      <c r="N61" s="65">
        <f>0.5*R61</f>
        <v>150</v>
      </c>
      <c r="O61" s="363" t="s">
        <v>60</v>
      </c>
      <c r="P61" s="65">
        <v>150</v>
      </c>
      <c r="Q61" s="363" t="s">
        <v>61</v>
      </c>
      <c r="R61" s="65">
        <v>300</v>
      </c>
      <c r="S61" s="363" t="s">
        <v>62</v>
      </c>
      <c r="T61" s="65">
        <v>98</v>
      </c>
      <c r="U61" s="363" t="s">
        <v>55</v>
      </c>
      <c r="V61" s="66" t="s">
        <v>275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117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182</v>
      </c>
    </row>
    <row r="67" spans="1:26" ht="13.5" thickBot="1" x14ac:dyDescent="0.25">
      <c r="A67" s="361" t="s">
        <v>112</v>
      </c>
      <c r="B67" s="359">
        <f>ROW(A67)</f>
        <v>67</v>
      </c>
      <c r="C67" s="363" t="s">
        <v>116</v>
      </c>
      <c r="D67" s="353">
        <f>SUM(B70:Y70)</f>
        <v>2.65</v>
      </c>
      <c r="E67" s="363" t="s">
        <v>115</v>
      </c>
      <c r="F67" s="354">
        <f>D67/g/J67</f>
        <v>54.026503567787969</v>
      </c>
      <c r="G67" s="363" t="s">
        <v>57</v>
      </c>
      <c r="H67" s="64">
        <v>1.4999999999999999E-2</v>
      </c>
      <c r="I67" s="363" t="s">
        <v>270</v>
      </c>
      <c r="J67" s="355">
        <f>H67-L67</f>
        <v>4.9999999999999992E-3</v>
      </c>
      <c r="K67" s="363" t="s">
        <v>271</v>
      </c>
      <c r="L67" s="64">
        <v>0.01</v>
      </c>
      <c r="M67" s="363" t="s">
        <v>58</v>
      </c>
      <c r="N67" s="65">
        <v>30</v>
      </c>
      <c r="O67" s="363" t="s">
        <v>60</v>
      </c>
      <c r="P67" s="65">
        <v>30</v>
      </c>
      <c r="Q67" s="363" t="s">
        <v>61</v>
      </c>
      <c r="R67" s="65">
        <v>70</v>
      </c>
      <c r="S67" s="363" t="s">
        <v>62</v>
      </c>
      <c r="T67" s="65">
        <v>15</v>
      </c>
      <c r="U67" s="363" t="s">
        <v>55</v>
      </c>
      <c r="V67" s="66" t="s">
        <v>118</v>
      </c>
      <c r="W67" s="463" t="s">
        <v>394</v>
      </c>
      <c r="X67" s="465">
        <v>0.32</v>
      </c>
      <c r="Y67" s="463" t="s">
        <v>393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117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113</v>
      </c>
      <c r="B72" s="359">
        <f>ROW(A72)</f>
        <v>72</v>
      </c>
      <c r="C72" s="363" t="s">
        <v>116</v>
      </c>
      <c r="D72" s="353">
        <f>SUM(B75:Y75)</f>
        <v>5.25</v>
      </c>
      <c r="E72" s="363" t="s">
        <v>115</v>
      </c>
      <c r="F72" s="354">
        <f>D72/g/J72</f>
        <v>89.1946992864424</v>
      </c>
      <c r="G72" s="363" t="s">
        <v>57</v>
      </c>
      <c r="H72" s="64">
        <v>0.02</v>
      </c>
      <c r="I72" s="363" t="s">
        <v>270</v>
      </c>
      <c r="J72" s="355">
        <f>H72-L72</f>
        <v>6.0000000000000001E-3</v>
      </c>
      <c r="K72" s="363" t="s">
        <v>271</v>
      </c>
      <c r="L72" s="64">
        <v>1.4E-2</v>
      </c>
      <c r="M72" s="363" t="s">
        <v>58</v>
      </c>
      <c r="N72" s="65">
        <v>30</v>
      </c>
      <c r="O72" s="363" t="s">
        <v>60</v>
      </c>
      <c r="P72" s="65">
        <v>30</v>
      </c>
      <c r="Q72" s="363" t="s">
        <v>61</v>
      </c>
      <c r="R72" s="65">
        <v>70</v>
      </c>
      <c r="S72" s="363" t="s">
        <v>62</v>
      </c>
      <c r="T72" s="65">
        <v>15</v>
      </c>
      <c r="U72" s="363" t="s">
        <v>55</v>
      </c>
      <c r="V72" s="66" t="s">
        <v>118</v>
      </c>
      <c r="W72" s="463" t="s">
        <v>394</v>
      </c>
      <c r="X72" s="465">
        <v>1.2</v>
      </c>
      <c r="Y72" s="463" t="s">
        <v>393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117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114</v>
      </c>
      <c r="B77" s="359">
        <f>ROW(A77)</f>
        <v>77</v>
      </c>
      <c r="C77" s="363" t="s">
        <v>116</v>
      </c>
      <c r="D77" s="353">
        <f>SUM(B80:Y80)</f>
        <v>10.26</v>
      </c>
      <c r="E77" s="363" t="s">
        <v>115</v>
      </c>
      <c r="F77" s="354">
        <f>D77/g/J77</f>
        <v>80.451658433309802</v>
      </c>
      <c r="G77" s="363" t="s">
        <v>57</v>
      </c>
      <c r="H77" s="64">
        <v>2.4E-2</v>
      </c>
      <c r="I77" s="363" t="s">
        <v>270</v>
      </c>
      <c r="J77" s="355">
        <f>H77-L77</f>
        <v>1.3000000000000001E-2</v>
      </c>
      <c r="K77" s="363" t="s">
        <v>271</v>
      </c>
      <c r="L77" s="64">
        <v>1.0999999999999999E-2</v>
      </c>
      <c r="M77" s="363" t="s">
        <v>58</v>
      </c>
      <c r="N77" s="65">
        <v>30</v>
      </c>
      <c r="O77" s="363" t="s">
        <v>60</v>
      </c>
      <c r="P77" s="65">
        <v>30</v>
      </c>
      <c r="Q77" s="363" t="s">
        <v>61</v>
      </c>
      <c r="R77" s="65">
        <v>70</v>
      </c>
      <c r="S77" s="363" t="s">
        <v>62</v>
      </c>
      <c r="T77" s="65">
        <v>15</v>
      </c>
      <c r="U77" s="363" t="s">
        <v>55</v>
      </c>
      <c r="V77" s="66" t="s">
        <v>118</v>
      </c>
      <c r="W77" s="463" t="s">
        <v>394</v>
      </c>
      <c r="X77" s="465">
        <v>1.7</v>
      </c>
      <c r="Y77" s="463" t="s">
        <v>393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117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329</v>
      </c>
      <c r="B82" s="359">
        <f>ROW(A82)</f>
        <v>82</v>
      </c>
      <c r="C82" s="363" t="s">
        <v>116</v>
      </c>
      <c r="D82" s="353">
        <f>SUM(B85:Y85)</f>
        <v>20.52</v>
      </c>
      <c r="E82" s="363" t="s">
        <v>115</v>
      </c>
      <c r="F82" s="354">
        <f>D82/g/J82</f>
        <v>80.451658433309802</v>
      </c>
      <c r="G82" s="363" t="s">
        <v>57</v>
      </c>
      <c r="H82" s="64">
        <f>H77*2</f>
        <v>4.8000000000000001E-2</v>
      </c>
      <c r="I82" s="363" t="s">
        <v>270</v>
      </c>
      <c r="J82" s="355">
        <f>H82-L82</f>
        <v>2.6000000000000002E-2</v>
      </c>
      <c r="K82" s="363" t="s">
        <v>271</v>
      </c>
      <c r="L82" s="64">
        <f>L77*2</f>
        <v>2.1999999999999999E-2</v>
      </c>
      <c r="M82" s="363" t="s">
        <v>58</v>
      </c>
      <c r="N82" s="65">
        <v>30</v>
      </c>
      <c r="O82" s="363" t="s">
        <v>60</v>
      </c>
      <c r="P82" s="65">
        <v>30</v>
      </c>
      <c r="Q82" s="363" t="s">
        <v>61</v>
      </c>
      <c r="R82" s="65">
        <v>70</v>
      </c>
      <c r="S82" s="363" t="s">
        <v>62</v>
      </c>
      <c r="T82" s="65">
        <v>30</v>
      </c>
      <c r="U82" s="363" t="s">
        <v>55</v>
      </c>
      <c r="V82" s="66" t="s">
        <v>118</v>
      </c>
      <c r="W82" s="463" t="s">
        <v>394</v>
      </c>
      <c r="X82" s="465">
        <v>1.7</v>
      </c>
      <c r="Y82" s="463" t="s">
        <v>393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117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330</v>
      </c>
      <c r="B87" s="359">
        <f>ROW(A87)</f>
        <v>87</v>
      </c>
      <c r="C87" s="363" t="s">
        <v>116</v>
      </c>
      <c r="D87" s="353">
        <f>SUM(B90:Y90)</f>
        <v>30.779999999999998</v>
      </c>
      <c r="E87" s="363" t="s">
        <v>115</v>
      </c>
      <c r="F87" s="354">
        <f>D87/g/J87</f>
        <v>80.451658433309774</v>
      </c>
      <c r="G87" s="363" t="s">
        <v>57</v>
      </c>
      <c r="H87" s="64">
        <f>H77*3</f>
        <v>7.2000000000000008E-2</v>
      </c>
      <c r="I87" s="363" t="s">
        <v>270</v>
      </c>
      <c r="J87" s="355">
        <f>H87-L87</f>
        <v>3.9000000000000007E-2</v>
      </c>
      <c r="K87" s="363" t="s">
        <v>271</v>
      </c>
      <c r="L87" s="64">
        <f>L77*3</f>
        <v>3.3000000000000002E-2</v>
      </c>
      <c r="M87" s="363" t="s">
        <v>58</v>
      </c>
      <c r="N87" s="65">
        <v>30</v>
      </c>
      <c r="O87" s="363" t="s">
        <v>60</v>
      </c>
      <c r="P87" s="65">
        <v>30</v>
      </c>
      <c r="Q87" s="363" t="s">
        <v>61</v>
      </c>
      <c r="R87" s="65">
        <v>70</v>
      </c>
      <c r="S87" s="363" t="s">
        <v>62</v>
      </c>
      <c r="T87" s="65">
        <v>40</v>
      </c>
      <c r="U87" s="363" t="s">
        <v>55</v>
      </c>
      <c r="V87" s="66" t="s">
        <v>118</v>
      </c>
      <c r="W87" s="463" t="s">
        <v>394</v>
      </c>
      <c r="X87" s="465">
        <v>1.7</v>
      </c>
      <c r="Y87" s="463" t="s">
        <v>393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117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541</v>
      </c>
      <c r="B92" s="359">
        <f>ROW(A92)</f>
        <v>92</v>
      </c>
      <c r="C92" s="363" t="s">
        <v>116</v>
      </c>
      <c r="D92" s="353">
        <f>SUM(B95:Y95)</f>
        <v>19.961989000000003</v>
      </c>
      <c r="E92" s="363" t="s">
        <v>115</v>
      </c>
      <c r="F92" s="354">
        <f>D92/g/J92</f>
        <v>118.30588744280873</v>
      </c>
      <c r="G92" s="363" t="s">
        <v>57</v>
      </c>
      <c r="H92" s="64">
        <v>2.8199999999999999E-2</v>
      </c>
      <c r="I92" s="363" t="s">
        <v>270</v>
      </c>
      <c r="J92" s="355">
        <f>H92-L92</f>
        <v>1.72E-2</v>
      </c>
      <c r="K92" s="363" t="s">
        <v>271</v>
      </c>
      <c r="L92" s="64">
        <v>1.0999999999999999E-2</v>
      </c>
      <c r="M92" s="363" t="s">
        <v>58</v>
      </c>
      <c r="N92" s="65">
        <v>30</v>
      </c>
      <c r="O92" s="363" t="s">
        <v>60</v>
      </c>
      <c r="P92" s="65">
        <v>30</v>
      </c>
      <c r="Q92" s="363" t="s">
        <v>61</v>
      </c>
      <c r="R92" s="65">
        <v>70</v>
      </c>
      <c r="S92" s="363" t="s">
        <v>62</v>
      </c>
      <c r="T92" s="65">
        <v>18</v>
      </c>
      <c r="U92" s="363" t="s">
        <v>55</v>
      </c>
      <c r="V92" s="66" t="s">
        <v>401</v>
      </c>
      <c r="W92" s="463" t="s">
        <v>394</v>
      </c>
      <c r="X92" s="465">
        <v>2.1</v>
      </c>
      <c r="Y92" s="463" t="s">
        <v>393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117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539</v>
      </c>
      <c r="B97" s="359">
        <f>ROW(A97)</f>
        <v>97</v>
      </c>
      <c r="C97" s="363" t="s">
        <v>116</v>
      </c>
      <c r="D97" s="353">
        <f>SUM(B100:Y100)</f>
        <v>39.923978000000005</v>
      </c>
      <c r="E97" s="363" t="s">
        <v>115</v>
      </c>
      <c r="F97" s="354">
        <f>D97/g/J97</f>
        <v>118.30588744280873</v>
      </c>
      <c r="G97" s="363" t="s">
        <v>57</v>
      </c>
      <c r="H97" s="64">
        <f>H92*2</f>
        <v>5.6399999999999999E-2</v>
      </c>
      <c r="I97" s="363" t="s">
        <v>270</v>
      </c>
      <c r="J97" s="355">
        <f>H97-L97</f>
        <v>3.44E-2</v>
      </c>
      <c r="K97" s="363" t="s">
        <v>271</v>
      </c>
      <c r="L97" s="64">
        <f>L92*2</f>
        <v>2.1999999999999999E-2</v>
      </c>
      <c r="M97" s="363" t="s">
        <v>58</v>
      </c>
      <c r="N97" s="65">
        <v>30</v>
      </c>
      <c r="O97" s="363" t="s">
        <v>60</v>
      </c>
      <c r="P97" s="65">
        <v>30</v>
      </c>
      <c r="Q97" s="363" t="s">
        <v>61</v>
      </c>
      <c r="R97" s="65">
        <v>70</v>
      </c>
      <c r="S97" s="363" t="s">
        <v>62</v>
      </c>
      <c r="T97" s="65">
        <v>30</v>
      </c>
      <c r="U97" s="363" t="s">
        <v>55</v>
      </c>
      <c r="V97" s="66" t="s">
        <v>401</v>
      </c>
      <c r="W97" s="463" t="s">
        <v>394</v>
      </c>
      <c r="X97" s="465">
        <v>2.1</v>
      </c>
      <c r="Y97" s="463" t="s">
        <v>393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117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540</v>
      </c>
      <c r="B102" s="359">
        <f>ROW(A102)</f>
        <v>102</v>
      </c>
      <c r="C102" s="363" t="s">
        <v>116</v>
      </c>
      <c r="D102" s="353">
        <f>SUM(B105:Y105)</f>
        <v>59.885967000000008</v>
      </c>
      <c r="E102" s="363" t="s">
        <v>115</v>
      </c>
      <c r="F102" s="354">
        <f>D102/g/J102</f>
        <v>118.30588744280874</v>
      </c>
      <c r="G102" s="363" t="s">
        <v>57</v>
      </c>
      <c r="H102" s="64">
        <f>H92*3</f>
        <v>8.4599999999999995E-2</v>
      </c>
      <c r="I102" s="363" t="s">
        <v>270</v>
      </c>
      <c r="J102" s="355">
        <f>H102-L102</f>
        <v>5.1599999999999993E-2</v>
      </c>
      <c r="K102" s="363" t="s">
        <v>271</v>
      </c>
      <c r="L102" s="64">
        <f>L92*3</f>
        <v>3.3000000000000002E-2</v>
      </c>
      <c r="M102" s="363" t="s">
        <v>58</v>
      </c>
      <c r="N102" s="65">
        <v>30</v>
      </c>
      <c r="O102" s="363" t="s">
        <v>60</v>
      </c>
      <c r="P102" s="65">
        <v>30</v>
      </c>
      <c r="Q102" s="363" t="s">
        <v>61</v>
      </c>
      <c r="R102" s="65">
        <v>70</v>
      </c>
      <c r="S102" s="363" t="s">
        <v>62</v>
      </c>
      <c r="T102" s="65">
        <v>40</v>
      </c>
      <c r="U102" s="363" t="s">
        <v>55</v>
      </c>
      <c r="V102" s="66" t="s">
        <v>401</v>
      </c>
      <c r="W102" s="463" t="s">
        <v>394</v>
      </c>
      <c r="X102" s="465">
        <v>2.1</v>
      </c>
      <c r="Y102" s="463" t="s">
        <v>393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117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316</v>
      </c>
    </row>
    <row r="108" spans="1:26" ht="13.5" thickBot="1" x14ac:dyDescent="0.25">
      <c r="A108" s="361" t="s">
        <v>319</v>
      </c>
      <c r="B108" s="359">
        <f>ROW(A108)</f>
        <v>108</v>
      </c>
      <c r="C108" s="363" t="s">
        <v>116</v>
      </c>
      <c r="D108" s="353">
        <f>SUM(B111:Y111)</f>
        <v>24.269519000000003</v>
      </c>
      <c r="E108" s="363" t="s">
        <v>115</v>
      </c>
      <c r="F108" s="354">
        <f>D108/g/J108</f>
        <v>154.62231778797147</v>
      </c>
      <c r="G108" s="363" t="s">
        <v>57</v>
      </c>
      <c r="H108" s="64">
        <v>5.1999999999999998E-2</v>
      </c>
      <c r="I108" s="363" t="s">
        <v>270</v>
      </c>
      <c r="J108" s="355">
        <f>H108-L108</f>
        <v>1.6E-2</v>
      </c>
      <c r="K108" s="363" t="s">
        <v>271</v>
      </c>
      <c r="L108" s="64">
        <v>3.5999999999999997E-2</v>
      </c>
      <c r="M108" s="363" t="s">
        <v>58</v>
      </c>
      <c r="N108" s="396">
        <v>35</v>
      </c>
      <c r="O108" s="363" t="s">
        <v>60</v>
      </c>
      <c r="P108" s="396">
        <v>35</v>
      </c>
      <c r="Q108" s="363" t="s">
        <v>61</v>
      </c>
      <c r="R108" s="65">
        <v>69</v>
      </c>
      <c r="S108" s="363" t="s">
        <v>62</v>
      </c>
      <c r="T108" s="65">
        <v>24</v>
      </c>
      <c r="U108" s="363" t="s">
        <v>55</v>
      </c>
      <c r="V108" s="66" t="s">
        <v>399</v>
      </c>
      <c r="W108" s="463" t="s">
        <v>394</v>
      </c>
      <c r="X108" s="465">
        <v>1</v>
      </c>
      <c r="Y108" s="463" t="s">
        <v>393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117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417</v>
      </c>
      <c r="B113" s="359">
        <f>ROW(A113)</f>
        <v>113</v>
      </c>
      <c r="C113" s="363" t="s">
        <v>116</v>
      </c>
      <c r="D113" s="353">
        <f>SUM(B116:Y116)</f>
        <v>24.488898000000002</v>
      </c>
      <c r="E113" s="363" t="s">
        <v>115</v>
      </c>
      <c r="F113" s="354">
        <f>D113/g/J113</f>
        <v>121.771701350041</v>
      </c>
      <c r="G113" s="363" t="s">
        <v>57</v>
      </c>
      <c r="H113" s="64">
        <v>5.6500000000000002E-2</v>
      </c>
      <c r="I113" s="363" t="s">
        <v>270</v>
      </c>
      <c r="J113" s="355">
        <f>H113-L113</f>
        <v>2.0500000000000004E-2</v>
      </c>
      <c r="K113" s="363" t="s">
        <v>271</v>
      </c>
      <c r="L113" s="64">
        <v>3.5999999999999997E-2</v>
      </c>
      <c r="M113" s="363" t="s">
        <v>58</v>
      </c>
      <c r="N113" s="396">
        <v>35</v>
      </c>
      <c r="O113" s="363" t="s">
        <v>60</v>
      </c>
      <c r="P113" s="396">
        <v>35</v>
      </c>
      <c r="Q113" s="363" t="s">
        <v>61</v>
      </c>
      <c r="R113" s="65">
        <v>69</v>
      </c>
      <c r="S113" s="363" t="s">
        <v>62</v>
      </c>
      <c r="T113" s="65">
        <v>24</v>
      </c>
      <c r="U113" s="363" t="s">
        <v>55</v>
      </c>
      <c r="V113" s="66" t="s">
        <v>400</v>
      </c>
      <c r="W113" s="463" t="s">
        <v>394</v>
      </c>
      <c r="X113" s="465">
        <v>0.33</v>
      </c>
      <c r="Y113" s="463" t="s">
        <v>393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117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320</v>
      </c>
      <c r="B118" s="359">
        <f>ROW(A118)</f>
        <v>118</v>
      </c>
      <c r="C118" s="363" t="s">
        <v>116</v>
      </c>
      <c r="D118" s="353">
        <f>SUM(B121:Y121)</f>
        <v>26.083982500000001</v>
      </c>
      <c r="E118" s="363" t="s">
        <v>115</v>
      </c>
      <c r="F118" s="354">
        <f>D118/g/J118</f>
        <v>166.18235537716615</v>
      </c>
      <c r="G118" s="363" t="s">
        <v>57</v>
      </c>
      <c r="H118" s="64">
        <v>5.1999999999999998E-2</v>
      </c>
      <c r="I118" s="363" t="s">
        <v>270</v>
      </c>
      <c r="J118" s="355">
        <f>H118-L118</f>
        <v>1.6E-2</v>
      </c>
      <c r="K118" s="363" t="s">
        <v>271</v>
      </c>
      <c r="L118" s="64">
        <v>3.5999999999999997E-2</v>
      </c>
      <c r="M118" s="363" t="s">
        <v>58</v>
      </c>
      <c r="N118" s="396">
        <v>35</v>
      </c>
      <c r="O118" s="363" t="s">
        <v>60</v>
      </c>
      <c r="P118" s="396">
        <v>35</v>
      </c>
      <c r="Q118" s="363" t="s">
        <v>61</v>
      </c>
      <c r="R118" s="65">
        <v>69</v>
      </c>
      <c r="S118" s="363" t="s">
        <v>62</v>
      </c>
      <c r="T118" s="65">
        <v>24</v>
      </c>
      <c r="U118" s="363" t="s">
        <v>55</v>
      </c>
      <c r="V118" s="66" t="s">
        <v>399</v>
      </c>
      <c r="W118" s="463" t="s">
        <v>394</v>
      </c>
      <c r="X118" s="465">
        <v>0.85</v>
      </c>
      <c r="Y118" s="463" t="s">
        <v>393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117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389</v>
      </c>
    </row>
    <row r="123" spans="1:26" ht="13.5" thickBot="1" x14ac:dyDescent="0.25">
      <c r="A123" s="361" t="s">
        <v>390</v>
      </c>
      <c r="B123" s="359">
        <f>ROW(A123)</f>
        <v>123</v>
      </c>
      <c r="C123" s="363" t="s">
        <v>116</v>
      </c>
      <c r="D123" s="353">
        <f>SUM(B126:Y126)</f>
        <v>49.788765499999997</v>
      </c>
      <c r="E123" s="363" t="s">
        <v>115</v>
      </c>
      <c r="F123" s="354">
        <v>231</v>
      </c>
      <c r="G123" s="363" t="s">
        <v>57</v>
      </c>
      <c r="H123" s="64">
        <v>7.2999999999999995E-2</v>
      </c>
      <c r="I123" s="363" t="s">
        <v>270</v>
      </c>
      <c r="J123" s="355">
        <f>H123-L123</f>
        <v>2.7999999999999997E-2</v>
      </c>
      <c r="K123" s="363" t="s">
        <v>271</v>
      </c>
      <c r="L123" s="64">
        <v>4.4999999999999998E-2</v>
      </c>
      <c r="M123" s="363" t="s">
        <v>58</v>
      </c>
      <c r="N123" s="396">
        <v>50</v>
      </c>
      <c r="O123" s="363" t="s">
        <v>60</v>
      </c>
      <c r="P123" s="396">
        <v>50</v>
      </c>
      <c r="Q123" s="363" t="s">
        <v>61</v>
      </c>
      <c r="R123" s="65">
        <v>101</v>
      </c>
      <c r="S123" s="363" t="s">
        <v>62</v>
      </c>
      <c r="T123" s="65">
        <v>24</v>
      </c>
      <c r="U123" s="363" t="s">
        <v>55</v>
      </c>
      <c r="V123" s="66" t="s">
        <v>120</v>
      </c>
      <c r="W123" s="463" t="s">
        <v>394</v>
      </c>
      <c r="X123" s="465">
        <v>1</v>
      </c>
      <c r="Y123" s="463" t="s">
        <v>393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117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391</v>
      </c>
      <c r="B128" s="359">
        <f>ROW(A128)</f>
        <v>128</v>
      </c>
      <c r="C128" s="363" t="s">
        <v>116</v>
      </c>
      <c r="D128" s="353">
        <f>SUM(B131:Y131)</f>
        <v>52.815674000000008</v>
      </c>
      <c r="E128" s="363" t="s">
        <v>115</v>
      </c>
      <c r="F128" s="354">
        <v>239</v>
      </c>
      <c r="G128" s="363" t="s">
        <v>57</v>
      </c>
      <c r="H128" s="64">
        <v>7.2999999999999995E-2</v>
      </c>
      <c r="I128" s="363" t="s">
        <v>270</v>
      </c>
      <c r="J128" s="355">
        <f>H128-L128</f>
        <v>2.8999999999999998E-2</v>
      </c>
      <c r="K128" s="363" t="s">
        <v>271</v>
      </c>
      <c r="L128" s="64">
        <v>4.3999999999999997E-2</v>
      </c>
      <c r="M128" s="363" t="s">
        <v>58</v>
      </c>
      <c r="N128" s="396">
        <v>50</v>
      </c>
      <c r="O128" s="363" t="s">
        <v>60</v>
      </c>
      <c r="P128" s="396">
        <v>50</v>
      </c>
      <c r="Q128" s="363" t="s">
        <v>61</v>
      </c>
      <c r="R128" s="65">
        <v>101</v>
      </c>
      <c r="S128" s="363" t="s">
        <v>62</v>
      </c>
      <c r="T128" s="65">
        <v>24</v>
      </c>
      <c r="U128" s="363" t="s">
        <v>55</v>
      </c>
      <c r="V128" s="66" t="s">
        <v>120</v>
      </c>
      <c r="W128" s="463" t="s">
        <v>394</v>
      </c>
      <c r="X128" s="465">
        <v>0.77</v>
      </c>
      <c r="Y128" s="463" t="s">
        <v>393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117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313</v>
      </c>
    </row>
    <row r="133" spans="1:26" ht="13.5" thickBot="1" x14ac:dyDescent="0.25">
      <c r="A133" s="361" t="s">
        <v>381</v>
      </c>
      <c r="B133" s="359">
        <f>ROW(A133)</f>
        <v>133</v>
      </c>
      <c r="C133" s="363" t="s">
        <v>116</v>
      </c>
      <c r="D133" s="353">
        <f>SUM(B136:Y136)</f>
        <v>41.835000000000015</v>
      </c>
      <c r="E133" s="363" t="s">
        <v>115</v>
      </c>
      <c r="F133" s="354">
        <f>D133/g/J133</f>
        <v>121.84359982525126</v>
      </c>
      <c r="G133" s="363" t="s">
        <v>57</v>
      </c>
      <c r="H133" s="64">
        <v>0.104</v>
      </c>
      <c r="I133" s="363" t="s">
        <v>270</v>
      </c>
      <c r="J133" s="355">
        <f>H133-L133</f>
        <v>3.4999999999999989E-2</v>
      </c>
      <c r="K133" s="363" t="s">
        <v>271</v>
      </c>
      <c r="L133" s="64">
        <v>6.9000000000000006E-2</v>
      </c>
      <c r="M133" s="363" t="s">
        <v>58</v>
      </c>
      <c r="N133" s="65">
        <v>49</v>
      </c>
      <c r="O133" s="363" t="s">
        <v>60</v>
      </c>
      <c r="P133" s="65">
        <v>49</v>
      </c>
      <c r="Q133" s="363" t="s">
        <v>61</v>
      </c>
      <c r="R133" s="65">
        <v>98</v>
      </c>
      <c r="S133" s="363" t="s">
        <v>62</v>
      </c>
      <c r="T133" s="65">
        <v>29</v>
      </c>
      <c r="U133" s="363" t="s">
        <v>55</v>
      </c>
      <c r="V133" s="66" t="s">
        <v>399</v>
      </c>
      <c r="W133" s="463" t="s">
        <v>394</v>
      </c>
      <c r="X133" s="465">
        <v>1.07</v>
      </c>
      <c r="Y133" s="463" t="s">
        <v>393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117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382</v>
      </c>
      <c r="B138" s="359">
        <f>ROW(A138)</f>
        <v>138</v>
      </c>
      <c r="C138" s="363" t="s">
        <v>116</v>
      </c>
      <c r="D138" s="353">
        <f>SUM(B141:Y141)</f>
        <v>52.564999999999998</v>
      </c>
      <c r="E138" s="363" t="s">
        <v>115</v>
      </c>
      <c r="F138" s="354">
        <f>D138/g/J138</f>
        <v>167.44712028542301</v>
      </c>
      <c r="G138" s="363" t="s">
        <v>57</v>
      </c>
      <c r="H138" s="64">
        <v>0.10100000000000001</v>
      </c>
      <c r="I138" s="363" t="s">
        <v>270</v>
      </c>
      <c r="J138" s="355">
        <f>H138-L138</f>
        <v>3.2000000000000001E-2</v>
      </c>
      <c r="K138" s="363" t="s">
        <v>271</v>
      </c>
      <c r="L138" s="64">
        <v>6.9000000000000006E-2</v>
      </c>
      <c r="M138" s="363" t="s">
        <v>58</v>
      </c>
      <c r="N138" s="65">
        <v>49</v>
      </c>
      <c r="O138" s="363" t="s">
        <v>60</v>
      </c>
      <c r="P138" s="65">
        <v>49</v>
      </c>
      <c r="Q138" s="363" t="s">
        <v>61</v>
      </c>
      <c r="R138" s="65">
        <v>98</v>
      </c>
      <c r="S138" s="363" t="s">
        <v>62</v>
      </c>
      <c r="T138" s="65">
        <v>29</v>
      </c>
      <c r="U138" s="363" t="s">
        <v>55</v>
      </c>
      <c r="V138" s="66" t="s">
        <v>400</v>
      </c>
      <c r="W138" s="463" t="s">
        <v>394</v>
      </c>
      <c r="X138" s="465">
        <v>1.8</v>
      </c>
      <c r="Y138" s="463" t="s">
        <v>393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117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383</v>
      </c>
      <c r="B143" s="359">
        <f>ROW(A143)</f>
        <v>143</v>
      </c>
      <c r="C143" s="363" t="s">
        <v>116</v>
      </c>
      <c r="D143" s="353">
        <f>SUM(B146:Y146)</f>
        <v>54.110016122119539</v>
      </c>
      <c r="E143" s="363" t="s">
        <v>115</v>
      </c>
      <c r="F143" s="354">
        <f>D143/g/J143</f>
        <v>146.69685764124625</v>
      </c>
      <c r="G143" s="363" t="s">
        <v>57</v>
      </c>
      <c r="H143" s="64">
        <v>0.10580000000000001</v>
      </c>
      <c r="I143" s="363" t="s">
        <v>270</v>
      </c>
      <c r="J143" s="355">
        <f>H143-L143</f>
        <v>3.7600000000000008E-2</v>
      </c>
      <c r="K143" s="363" t="s">
        <v>271</v>
      </c>
      <c r="L143" s="64">
        <v>6.8199999999999997E-2</v>
      </c>
      <c r="M143" s="363" t="s">
        <v>58</v>
      </c>
      <c r="N143" s="65">
        <v>49</v>
      </c>
      <c r="O143" s="363" t="s">
        <v>60</v>
      </c>
      <c r="P143" s="65">
        <v>49</v>
      </c>
      <c r="Q143" s="363" t="s">
        <v>61</v>
      </c>
      <c r="R143" s="65">
        <v>98</v>
      </c>
      <c r="S143" s="363" t="s">
        <v>62</v>
      </c>
      <c r="T143" s="65">
        <v>29</v>
      </c>
      <c r="U143" s="363" t="s">
        <v>55</v>
      </c>
      <c r="V143" s="66" t="s">
        <v>399</v>
      </c>
      <c r="W143" s="463" t="s">
        <v>394</v>
      </c>
      <c r="X143" s="465">
        <v>1.9</v>
      </c>
      <c r="Y143" s="463" t="s">
        <v>393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117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545</v>
      </c>
      <c r="B148" s="359">
        <f>ROW(A148)</f>
        <v>148</v>
      </c>
      <c r="C148" s="363" t="s">
        <v>116</v>
      </c>
      <c r="D148" s="353">
        <f>SUM(B151:Y151)</f>
        <v>55.589492</v>
      </c>
      <c r="E148" s="363" t="s">
        <v>115</v>
      </c>
      <c r="F148" s="354">
        <f>D148/g/J148</f>
        <v>177.08171508664634</v>
      </c>
      <c r="G148" s="363" t="s">
        <v>57</v>
      </c>
      <c r="H148" s="64">
        <v>0.10199999999999999</v>
      </c>
      <c r="I148" s="363" t="s">
        <v>270</v>
      </c>
      <c r="J148" s="355">
        <f>H148-L148</f>
        <v>3.1999999999999987E-2</v>
      </c>
      <c r="K148" s="363" t="s">
        <v>271</v>
      </c>
      <c r="L148" s="64">
        <v>7.0000000000000007E-2</v>
      </c>
      <c r="M148" s="363" t="s">
        <v>58</v>
      </c>
      <c r="N148" s="65">
        <v>49</v>
      </c>
      <c r="O148" s="363" t="s">
        <v>60</v>
      </c>
      <c r="P148" s="65">
        <v>49</v>
      </c>
      <c r="Q148" s="363" t="s">
        <v>61</v>
      </c>
      <c r="R148" s="65">
        <v>98</v>
      </c>
      <c r="S148" s="363" t="s">
        <v>62</v>
      </c>
      <c r="T148" s="65">
        <v>29</v>
      </c>
      <c r="U148" s="363" t="s">
        <v>55</v>
      </c>
      <c r="V148" s="66" t="s">
        <v>400</v>
      </c>
      <c r="W148" s="463" t="s">
        <v>394</v>
      </c>
      <c r="X148" s="465">
        <v>0.45</v>
      </c>
      <c r="Y148" s="463" t="s">
        <v>393</v>
      </c>
      <c r="Z148" s="358">
        <v>12</v>
      </c>
    </row>
    <row r="149" spans="1:26" x14ac:dyDescent="0.2">
      <c r="A149" s="362" t="s">
        <v>33</v>
      </c>
      <c r="B149" s="370">
        <v>0</v>
      </c>
      <c r="C149" s="371">
        <v>1E-3</v>
      </c>
      <c r="D149" s="371">
        <v>2.3E-2</v>
      </c>
      <c r="E149" s="371">
        <v>0.05</v>
      </c>
      <c r="F149" s="371">
        <v>5.8999999999999997E-2</v>
      </c>
      <c r="G149" s="371">
        <v>9.5000000000000001E-2</v>
      </c>
      <c r="H149" s="371">
        <v>0.21199999999999999</v>
      </c>
      <c r="I149" s="371">
        <v>0.34399999999999997</v>
      </c>
      <c r="J149" s="371">
        <v>1.5669999999999999</v>
      </c>
      <c r="K149" s="371">
        <v>1.631</v>
      </c>
      <c r="L149" s="371">
        <v>1.663</v>
      </c>
      <c r="M149" s="371">
        <v>1.7849999999999999</v>
      </c>
      <c r="N149" s="371">
        <v>1.8280000000000001</v>
      </c>
      <c r="O149" s="371">
        <v>2</v>
      </c>
      <c r="P149" s="371">
        <v>2</v>
      </c>
      <c r="Q149" s="371">
        <v>2</v>
      </c>
      <c r="R149" s="371">
        <v>2</v>
      </c>
      <c r="S149" s="371">
        <v>2</v>
      </c>
      <c r="T149" s="371">
        <v>2</v>
      </c>
      <c r="U149" s="371">
        <v>2</v>
      </c>
      <c r="V149" s="371">
        <v>2</v>
      </c>
      <c r="W149" s="371">
        <v>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3.4830000000000001</v>
      </c>
      <c r="D150" s="373">
        <v>64.052999999999997</v>
      </c>
      <c r="E150" s="373">
        <v>31.347000000000001</v>
      </c>
      <c r="F150" s="373">
        <v>28.459</v>
      </c>
      <c r="G150" s="373">
        <v>32.027000000000001</v>
      </c>
      <c r="H150" s="373">
        <v>36.189</v>
      </c>
      <c r="I150" s="373">
        <v>37.548999999999999</v>
      </c>
      <c r="J150" s="373">
        <v>26.164999999999999</v>
      </c>
      <c r="K150" s="373">
        <v>26.93</v>
      </c>
      <c r="L150" s="373">
        <v>25.315999999999999</v>
      </c>
      <c r="M150" s="373">
        <v>3.653</v>
      </c>
      <c r="N150" s="373">
        <v>0</v>
      </c>
      <c r="O150" s="373">
        <v>0</v>
      </c>
      <c r="P150" s="373">
        <v>0</v>
      </c>
      <c r="Q150" s="373">
        <v>0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117</v>
      </c>
      <c r="B151" s="374">
        <f t="shared" ref="B151" si="33">(C150+B150)*(C149-B149)/2</f>
        <v>1.7415E-3</v>
      </c>
      <c r="C151" s="375">
        <f t="shared" ref="C151" si="34">(D150+C150)*(D149-C149)/2</f>
        <v>0.742896</v>
      </c>
      <c r="D151" s="375">
        <f t="shared" ref="D151" si="35">(E150+D150)*(E149-D149)/2</f>
        <v>1.2879000000000003</v>
      </c>
      <c r="E151" s="375">
        <f t="shared" ref="E151" si="36">(F150+E150)*(F149-E149)/2</f>
        <v>0.26912699999999984</v>
      </c>
      <c r="F151" s="375">
        <f t="shared" ref="F151" si="37">(G150+F150)*(G149-F149)/2</f>
        <v>1.0887480000000003</v>
      </c>
      <c r="G151" s="375">
        <f t="shared" ref="G151" si="38">(H150+G150)*(H149-G149)/2</f>
        <v>3.9906360000000003</v>
      </c>
      <c r="H151" s="375">
        <f t="shared" ref="H151" si="39">(I150+H150)*(I149-H149)/2</f>
        <v>4.8667079999999991</v>
      </c>
      <c r="I151" s="375">
        <f t="shared" ref="I151" si="40">(J150+I150)*(J149-I149)/2</f>
        <v>38.961110999999995</v>
      </c>
      <c r="J151" s="375">
        <f t="shared" ref="J151" si="41">(K150+J150)*(K149-J149)/2</f>
        <v>1.6990400000000014</v>
      </c>
      <c r="K151" s="375">
        <f t="shared" ref="K151" si="42">(L150+K150)*(L149-K149)/2</f>
        <v>0.83593600000000068</v>
      </c>
      <c r="L151" s="375">
        <f t="shared" ref="L151" si="43">(M150+L150)*(M149-L149)/2</f>
        <v>1.7671089999999983</v>
      </c>
      <c r="M151" s="375">
        <f t="shared" ref="M151" si="44">(N150+M150)*(N149-M149)/2</f>
        <v>7.8539500000000276E-2</v>
      </c>
      <c r="N151" s="375">
        <f t="shared" ref="N151" si="45">(O150+N150)*(O149-N149)/2</f>
        <v>0</v>
      </c>
      <c r="O151" s="375">
        <f t="shared" ref="O151" si="46">(P150+O150)*(P149-O149)/2</f>
        <v>0</v>
      </c>
      <c r="P151" s="375">
        <f t="shared" ref="P151" si="47">(Q150+P150)*(Q149-P149)/2</f>
        <v>0</v>
      </c>
      <c r="Q151" s="375">
        <f t="shared" ref="Q151" si="48">(R150+Q150)*(R149-Q149)/2</f>
        <v>0</v>
      </c>
      <c r="R151" s="375">
        <f t="shared" ref="R151" si="49">(S150+R150)*(S149-R149)/2</f>
        <v>0</v>
      </c>
      <c r="S151" s="375">
        <f t="shared" ref="S151" si="50">(T150+S150)*(T149-S149)/2</f>
        <v>0</v>
      </c>
      <c r="T151" s="375">
        <f t="shared" ref="T151" si="51">(U150+T150)*(U149-T149)/2</f>
        <v>0</v>
      </c>
      <c r="U151" s="375">
        <f t="shared" ref="U151" si="52">(V150+U150)*(V149-U149)/2</f>
        <v>0</v>
      </c>
      <c r="V151" s="375">
        <f t="shared" ref="V151" si="53">(W150+V150)*(W149-V149)/2</f>
        <v>0</v>
      </c>
      <c r="W151" s="375">
        <f t="shared" ref="W151" si="54">(X150+W150)*(X149-W149)/2</f>
        <v>0</v>
      </c>
      <c r="X151" s="375">
        <f t="shared" ref="X151" si="55">(Y150+X150)*(Y149-X149)/2</f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384</v>
      </c>
      <c r="B153" s="359">
        <f>ROW(A153)</f>
        <v>153</v>
      </c>
      <c r="C153" s="363" t="s">
        <v>116</v>
      </c>
      <c r="D153" s="353">
        <f>SUM(B156:Y156)</f>
        <v>55.705884500000003</v>
      </c>
      <c r="E153" s="363" t="s">
        <v>115</v>
      </c>
      <c r="F153" s="354">
        <f>D153/g/J153</f>
        <v>180.84329814241278</v>
      </c>
      <c r="G153" s="363" t="s">
        <v>57</v>
      </c>
      <c r="H153" s="64">
        <v>0.1062</v>
      </c>
      <c r="I153" s="363" t="s">
        <v>270</v>
      </c>
      <c r="J153" s="355">
        <f>H153-L153</f>
        <v>3.1400000000000011E-2</v>
      </c>
      <c r="K153" s="363" t="s">
        <v>271</v>
      </c>
      <c r="L153" s="64">
        <v>7.4799999999999991E-2</v>
      </c>
      <c r="M153" s="363" t="s">
        <v>58</v>
      </c>
      <c r="N153" s="65">
        <v>49</v>
      </c>
      <c r="O153" s="363" t="s">
        <v>60</v>
      </c>
      <c r="P153" s="65">
        <v>49</v>
      </c>
      <c r="Q153" s="363" t="s">
        <v>61</v>
      </c>
      <c r="R153" s="65">
        <v>98</v>
      </c>
      <c r="S153" s="363" t="s">
        <v>62</v>
      </c>
      <c r="T153" s="65">
        <v>29</v>
      </c>
      <c r="U153" s="363" t="s">
        <v>55</v>
      </c>
      <c r="V153" s="66" t="s">
        <v>400</v>
      </c>
      <c r="W153" s="463" t="s">
        <v>394</v>
      </c>
      <c r="X153" s="465">
        <v>0.45</v>
      </c>
      <c r="Y153" s="463" t="s">
        <v>393</v>
      </c>
      <c r="Z153" s="358">
        <v>14</v>
      </c>
    </row>
    <row r="154" spans="1:26" x14ac:dyDescent="0.2">
      <c r="A154" s="362" t="s">
        <v>33</v>
      </c>
      <c r="B154" s="370">
        <v>0</v>
      </c>
      <c r="C154" s="371">
        <v>1.2999999999999999E-2</v>
      </c>
      <c r="D154" s="371">
        <v>1.7000000000000001E-2</v>
      </c>
      <c r="E154" s="371">
        <v>0.04</v>
      </c>
      <c r="F154" s="371">
        <v>0.125</v>
      </c>
      <c r="G154" s="371">
        <v>0.17899999999999999</v>
      </c>
      <c r="H154" s="371">
        <v>0.222</v>
      </c>
      <c r="I154" s="371">
        <v>0.28899999999999998</v>
      </c>
      <c r="J154" s="371">
        <v>0.35399999999999998</v>
      </c>
      <c r="K154" s="371">
        <v>0.39400000000000002</v>
      </c>
      <c r="L154" s="371">
        <v>0.40600000000000003</v>
      </c>
      <c r="M154" s="371">
        <v>0.41599999999999998</v>
      </c>
      <c r="N154" s="371">
        <v>0.42299999999999999</v>
      </c>
      <c r="O154" s="371">
        <v>0.43099999999999999</v>
      </c>
      <c r="P154" s="371">
        <v>0.44700000000000001</v>
      </c>
      <c r="Q154" s="371">
        <v>0.45300000000000001</v>
      </c>
      <c r="R154" s="371">
        <v>0.45500000000000002</v>
      </c>
      <c r="S154" s="371">
        <v>0.45500000000000002</v>
      </c>
      <c r="T154" s="371">
        <v>0.45500000000000002</v>
      </c>
      <c r="U154" s="371">
        <v>0.45500000000000002</v>
      </c>
      <c r="V154" s="371">
        <v>0.45500000000000002</v>
      </c>
      <c r="W154" s="371">
        <v>0.45500000000000002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79.242000000000004</v>
      </c>
      <c r="D155" s="373">
        <v>90.427000000000007</v>
      </c>
      <c r="E155" s="373">
        <v>101.422</v>
      </c>
      <c r="F155" s="373">
        <v>127.583</v>
      </c>
      <c r="G155" s="373">
        <v>136.114</v>
      </c>
      <c r="H155" s="373">
        <v>139.905</v>
      </c>
      <c r="I155" s="373">
        <v>143.50700000000001</v>
      </c>
      <c r="J155" s="373">
        <v>138.578</v>
      </c>
      <c r="K155" s="373">
        <v>125.498</v>
      </c>
      <c r="L155" s="373">
        <v>123.602</v>
      </c>
      <c r="M155" s="373">
        <v>125.11799999999999</v>
      </c>
      <c r="N155" s="373">
        <v>130.047</v>
      </c>
      <c r="O155" s="373">
        <v>120.569</v>
      </c>
      <c r="P155" s="373">
        <v>25.591999999999999</v>
      </c>
      <c r="Q155" s="373">
        <v>8.7200000000000006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117</v>
      </c>
      <c r="B156" s="374">
        <f t="shared" ref="B156:X156" si="56">(C155+B155)*(C154-B154)/2</f>
        <v>0.515073</v>
      </c>
      <c r="C156" s="375">
        <f t="shared" si="56"/>
        <v>0.3393380000000002</v>
      </c>
      <c r="D156" s="375">
        <f t="shared" si="56"/>
        <v>2.2062634999999999</v>
      </c>
      <c r="E156" s="375">
        <f t="shared" si="56"/>
        <v>9.7327124999999981</v>
      </c>
      <c r="F156" s="375">
        <f t="shared" si="56"/>
        <v>7.1198189999999988</v>
      </c>
      <c r="G156" s="375">
        <f t="shared" si="56"/>
        <v>5.9344085000000018</v>
      </c>
      <c r="H156" s="375">
        <f t="shared" si="56"/>
        <v>9.4943019999999976</v>
      </c>
      <c r="I156" s="375">
        <f t="shared" si="56"/>
        <v>9.167762500000002</v>
      </c>
      <c r="J156" s="375">
        <f t="shared" si="56"/>
        <v>5.2815200000000049</v>
      </c>
      <c r="K156" s="375">
        <f t="shared" si="56"/>
        <v>1.4946000000000015</v>
      </c>
      <c r="L156" s="375">
        <f t="shared" si="56"/>
        <v>1.2435999999999943</v>
      </c>
      <c r="M156" s="375">
        <f t="shared" si="56"/>
        <v>0.89307750000000075</v>
      </c>
      <c r="N156" s="375">
        <f t="shared" si="56"/>
        <v>1.0024640000000009</v>
      </c>
      <c r="O156" s="375">
        <f t="shared" si="56"/>
        <v>1.169288000000001</v>
      </c>
      <c r="P156" s="375">
        <f t="shared" si="56"/>
        <v>0.10293600000000008</v>
      </c>
      <c r="Q156" s="375">
        <f t="shared" si="56"/>
        <v>8.720000000000009E-3</v>
      </c>
      <c r="R156" s="375">
        <f t="shared" si="56"/>
        <v>0</v>
      </c>
      <c r="S156" s="375">
        <f t="shared" si="56"/>
        <v>0</v>
      </c>
      <c r="T156" s="375">
        <f t="shared" si="56"/>
        <v>0</v>
      </c>
      <c r="U156" s="375">
        <f t="shared" si="56"/>
        <v>0</v>
      </c>
      <c r="V156" s="375">
        <f t="shared" si="56"/>
        <v>0</v>
      </c>
      <c r="W156" s="375">
        <f t="shared" si="56"/>
        <v>0</v>
      </c>
      <c r="X156" s="375">
        <f t="shared" si="56"/>
        <v>0</v>
      </c>
      <c r="Y156" s="369"/>
    </row>
    <row r="157" spans="1:26" ht="13.5" thickBo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385</v>
      </c>
      <c r="B158" s="359">
        <f>ROW(A158)</f>
        <v>158</v>
      </c>
      <c r="C158" s="363" t="s">
        <v>116</v>
      </c>
      <c r="D158" s="353">
        <f>SUM(B161:Y161)</f>
        <v>57.190000000000005</v>
      </c>
      <c r="E158" s="363" t="s">
        <v>115</v>
      </c>
      <c r="F158" s="354">
        <f>D158/g/J158</f>
        <v>188.05695307618953</v>
      </c>
      <c r="G158" s="363" t="s">
        <v>57</v>
      </c>
      <c r="H158" s="64">
        <v>9.9000000000000005E-2</v>
      </c>
      <c r="I158" s="363" t="s">
        <v>270</v>
      </c>
      <c r="J158" s="355">
        <f>H158-L158</f>
        <v>3.1E-2</v>
      </c>
      <c r="K158" s="363" t="s">
        <v>271</v>
      </c>
      <c r="L158" s="64">
        <v>6.8000000000000005E-2</v>
      </c>
      <c r="M158" s="363" t="s">
        <v>58</v>
      </c>
      <c r="N158" s="65">
        <v>49</v>
      </c>
      <c r="O158" s="363" t="s">
        <v>60</v>
      </c>
      <c r="P158" s="65">
        <v>49</v>
      </c>
      <c r="Q158" s="363" t="s">
        <v>61</v>
      </c>
      <c r="R158" s="65">
        <v>98</v>
      </c>
      <c r="S158" s="363" t="s">
        <v>62</v>
      </c>
      <c r="T158" s="65">
        <v>29</v>
      </c>
      <c r="U158" s="363" t="s">
        <v>55</v>
      </c>
      <c r="V158" s="66" t="s">
        <v>400</v>
      </c>
      <c r="W158" s="463" t="s">
        <v>394</v>
      </c>
      <c r="X158" s="465">
        <v>0.96</v>
      </c>
      <c r="Y158" s="463" t="s">
        <v>393</v>
      </c>
      <c r="Z158" s="358">
        <v>12</v>
      </c>
    </row>
    <row r="159" spans="1:26" x14ac:dyDescent="0.2">
      <c r="A159" s="362" t="s">
        <v>33</v>
      </c>
      <c r="B159" s="370">
        <v>0</v>
      </c>
      <c r="C159" s="371">
        <v>0.01</v>
      </c>
      <c r="D159" s="371">
        <v>0.02</v>
      </c>
      <c r="E159" s="371">
        <v>0.03</v>
      </c>
      <c r="F159" s="371">
        <v>0.04</v>
      </c>
      <c r="G159" s="371">
        <v>7.0000000000000007E-2</v>
      </c>
      <c r="H159" s="371">
        <v>0.1</v>
      </c>
      <c r="I159" s="371">
        <v>0.2</v>
      </c>
      <c r="J159" s="371">
        <v>0.3</v>
      </c>
      <c r="K159" s="371">
        <v>0.4</v>
      </c>
      <c r="L159" s="371">
        <v>0.5</v>
      </c>
      <c r="M159" s="371">
        <v>0.6</v>
      </c>
      <c r="N159" s="371">
        <v>0.7</v>
      </c>
      <c r="O159" s="371">
        <v>0.87</v>
      </c>
      <c r="P159" s="371">
        <v>0.9</v>
      </c>
      <c r="Q159" s="371">
        <v>0.97</v>
      </c>
      <c r="R159" s="371">
        <v>0.97</v>
      </c>
      <c r="S159" s="371">
        <v>0.97</v>
      </c>
      <c r="T159" s="371">
        <v>0.97</v>
      </c>
      <c r="U159" s="371">
        <v>0.97</v>
      </c>
      <c r="V159" s="371">
        <v>0.97</v>
      </c>
      <c r="W159" s="371">
        <v>0.97</v>
      </c>
      <c r="X159" s="371"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16</v>
      </c>
      <c r="D160" s="373">
        <v>62</v>
      </c>
      <c r="E160" s="373">
        <v>67</v>
      </c>
      <c r="F160" s="373">
        <v>71</v>
      </c>
      <c r="G160" s="373">
        <v>58</v>
      </c>
      <c r="H160" s="373">
        <v>63</v>
      </c>
      <c r="I160" s="373">
        <v>67</v>
      </c>
      <c r="J160" s="373">
        <v>69</v>
      </c>
      <c r="K160" s="373">
        <v>67</v>
      </c>
      <c r="L160" s="373">
        <v>65</v>
      </c>
      <c r="M160" s="373">
        <v>63</v>
      </c>
      <c r="N160" s="373">
        <v>61</v>
      </c>
      <c r="O160" s="373">
        <v>60</v>
      </c>
      <c r="P160" s="373">
        <v>23</v>
      </c>
      <c r="Q160" s="373">
        <v>0</v>
      </c>
      <c r="R160" s="373">
        <v>0</v>
      </c>
      <c r="S160" s="373">
        <v>0</v>
      </c>
      <c r="T160" s="373">
        <v>0</v>
      </c>
      <c r="U160" s="373">
        <v>0</v>
      </c>
      <c r="V160" s="373">
        <v>0</v>
      </c>
      <c r="W160" s="373">
        <v>0</v>
      </c>
      <c r="X160" s="373">
        <v>0</v>
      </c>
      <c r="Y160" s="382">
        <v>0</v>
      </c>
    </row>
    <row r="161" spans="1:26" ht="13.5" thickBot="1" x14ac:dyDescent="0.25">
      <c r="A161" s="379" t="s">
        <v>117</v>
      </c>
      <c r="B161" s="374">
        <f t="shared" ref="B161:X161" si="57">(C160+B160)*(C159-B159)/2</f>
        <v>0.08</v>
      </c>
      <c r="C161" s="375">
        <f t="shared" si="57"/>
        <v>0.39</v>
      </c>
      <c r="D161" s="375">
        <f t="shared" si="57"/>
        <v>0.64499999999999991</v>
      </c>
      <c r="E161" s="375">
        <f t="shared" si="57"/>
        <v>0.69000000000000017</v>
      </c>
      <c r="F161" s="375">
        <f t="shared" si="57"/>
        <v>1.9350000000000003</v>
      </c>
      <c r="G161" s="375">
        <f t="shared" si="57"/>
        <v>1.8149999999999999</v>
      </c>
      <c r="H161" s="375">
        <f t="shared" si="57"/>
        <v>6.5</v>
      </c>
      <c r="I161" s="375">
        <f t="shared" si="57"/>
        <v>6.7999999999999989</v>
      </c>
      <c r="J161" s="375">
        <f t="shared" si="57"/>
        <v>6.8000000000000025</v>
      </c>
      <c r="K161" s="375">
        <f t="shared" si="57"/>
        <v>6.5999999999999988</v>
      </c>
      <c r="L161" s="375">
        <f t="shared" si="57"/>
        <v>6.3999999999999986</v>
      </c>
      <c r="M161" s="375">
        <f t="shared" si="57"/>
        <v>6.1999999999999984</v>
      </c>
      <c r="N161" s="375">
        <f t="shared" si="57"/>
        <v>10.285000000000002</v>
      </c>
      <c r="O161" s="375">
        <f t="shared" si="57"/>
        <v>1.245000000000001</v>
      </c>
      <c r="P161" s="375">
        <f t="shared" si="57"/>
        <v>0.80499999999999949</v>
      </c>
      <c r="Q161" s="375">
        <f t="shared" si="57"/>
        <v>0</v>
      </c>
      <c r="R161" s="375">
        <f t="shared" si="57"/>
        <v>0</v>
      </c>
      <c r="S161" s="375">
        <f t="shared" si="57"/>
        <v>0</v>
      </c>
      <c r="T161" s="375">
        <f t="shared" si="57"/>
        <v>0</v>
      </c>
      <c r="U161" s="375">
        <f t="shared" si="57"/>
        <v>0</v>
      </c>
      <c r="V161" s="375">
        <f t="shared" si="57"/>
        <v>0</v>
      </c>
      <c r="W161" s="375">
        <f t="shared" si="57"/>
        <v>0</v>
      </c>
      <c r="X161" s="375">
        <f t="shared" si="57"/>
        <v>0</v>
      </c>
      <c r="Y161" s="369"/>
    </row>
    <row r="162" spans="1:26" ht="13.5" thickBot="1" x14ac:dyDescent="0.25">
      <c r="A162" s="6" t="s">
        <v>314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6" ht="13.5" thickBot="1" x14ac:dyDescent="0.25">
      <c r="A163" s="361" t="s">
        <v>321</v>
      </c>
      <c r="B163" s="359">
        <f>ROW(A163)</f>
        <v>163</v>
      </c>
      <c r="C163" s="363" t="s">
        <v>116</v>
      </c>
      <c r="D163" s="353">
        <f>SUM(B166:Y166)</f>
        <v>59.702267000000006</v>
      </c>
      <c r="E163" s="363" t="s">
        <v>115</v>
      </c>
      <c r="F163" s="354">
        <f>D163/g/J163</f>
        <v>190.77924771281306</v>
      </c>
      <c r="G163" s="363" t="s">
        <v>57</v>
      </c>
      <c r="H163" s="64">
        <v>9.3899999999999997E-2</v>
      </c>
      <c r="I163" s="363" t="s">
        <v>270</v>
      </c>
      <c r="J163" s="355">
        <f>H163-L163</f>
        <v>3.1899999999999998E-2</v>
      </c>
      <c r="K163" s="363" t="s">
        <v>271</v>
      </c>
      <c r="L163" s="64">
        <f>0.095-0.033</f>
        <v>6.2E-2</v>
      </c>
      <c r="M163" s="363" t="s">
        <v>58</v>
      </c>
      <c r="N163" s="396">
        <v>66.5</v>
      </c>
      <c r="O163" s="363" t="s">
        <v>60</v>
      </c>
      <c r="P163" s="396">
        <v>66.5</v>
      </c>
      <c r="Q163" s="363" t="s">
        <v>61</v>
      </c>
      <c r="R163" s="65">
        <v>133</v>
      </c>
      <c r="S163" s="363" t="s">
        <v>62</v>
      </c>
      <c r="T163" s="65">
        <v>24</v>
      </c>
      <c r="U163" s="363" t="s">
        <v>55</v>
      </c>
      <c r="V163" s="66" t="s">
        <v>399</v>
      </c>
      <c r="W163" s="463" t="s">
        <v>394</v>
      </c>
      <c r="X163" s="465">
        <v>1.2</v>
      </c>
      <c r="Y163" s="463" t="s">
        <v>393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1.4999999999999999E-2</v>
      </c>
      <c r="D164" s="371">
        <v>2.1999999999999999E-2</v>
      </c>
      <c r="E164" s="371">
        <v>6.4000000000000001E-2</v>
      </c>
      <c r="F164" s="371">
        <v>0.11799999999999999</v>
      </c>
      <c r="G164" s="371">
        <v>0.34200000000000003</v>
      </c>
      <c r="H164" s="371">
        <v>0.53600000000000003</v>
      </c>
      <c r="I164" s="371">
        <v>0.74299999999999999</v>
      </c>
      <c r="J164" s="371">
        <v>0.88400000000000001</v>
      </c>
      <c r="K164" s="371">
        <v>0.97599999999999998</v>
      </c>
      <c r="L164" s="371">
        <v>1.0960000000000001</v>
      </c>
      <c r="M164" s="371">
        <v>1.246</v>
      </c>
      <c r="N164" s="371">
        <v>1.298</v>
      </c>
      <c r="O164" s="371">
        <v>2</v>
      </c>
      <c r="P164" s="371">
        <v>2</v>
      </c>
      <c r="Q164" s="371">
        <v>2</v>
      </c>
      <c r="R164" s="371">
        <v>2</v>
      </c>
      <c r="S164" s="371">
        <v>2</v>
      </c>
      <c r="T164" s="371">
        <v>2</v>
      </c>
      <c r="U164" s="371">
        <v>2</v>
      </c>
      <c r="V164" s="371">
        <v>2</v>
      </c>
      <c r="W164" s="371">
        <v>2</v>
      </c>
      <c r="X164" s="371">
        <f t="shared" ref="T164:X165" si="58">W164</f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64.981999999999999</v>
      </c>
      <c r="D165" s="373">
        <v>69.516000000000005</v>
      </c>
      <c r="E165" s="373">
        <v>55.536999999999999</v>
      </c>
      <c r="F165" s="373">
        <v>62.81</v>
      </c>
      <c r="G165" s="373">
        <v>62.149000000000001</v>
      </c>
      <c r="H165" s="373">
        <v>59.41</v>
      </c>
      <c r="I165" s="373">
        <v>53.837000000000003</v>
      </c>
      <c r="J165" s="373">
        <v>46.942</v>
      </c>
      <c r="K165" s="373">
        <v>40.046999999999997</v>
      </c>
      <c r="L165" s="373">
        <v>12.561999999999999</v>
      </c>
      <c r="M165" s="373">
        <v>2.0779999999999998</v>
      </c>
      <c r="N165" s="373">
        <v>0</v>
      </c>
      <c r="O165" s="373">
        <v>0</v>
      </c>
      <c r="P165" s="373">
        <v>0</v>
      </c>
      <c r="Q165" s="373">
        <v>0</v>
      </c>
      <c r="R165" s="373">
        <v>0</v>
      </c>
      <c r="S165" s="373">
        <v>0</v>
      </c>
      <c r="T165" s="373">
        <f t="shared" si="58"/>
        <v>0</v>
      </c>
      <c r="U165" s="373">
        <f t="shared" si="58"/>
        <v>0</v>
      </c>
      <c r="V165" s="373">
        <f t="shared" si="58"/>
        <v>0</v>
      </c>
      <c r="W165" s="373">
        <f t="shared" si="58"/>
        <v>0</v>
      </c>
      <c r="X165" s="373">
        <f t="shared" si="58"/>
        <v>0</v>
      </c>
      <c r="Y165" s="382">
        <v>0</v>
      </c>
    </row>
    <row r="166" spans="1:26" ht="13.5" thickBot="1" x14ac:dyDescent="0.25">
      <c r="A166" s="379" t="s">
        <v>117</v>
      </c>
      <c r="B166" s="374">
        <f t="shared" ref="B166:V166" si="59">(C165+B165)*(C164-B164)/2</f>
        <v>0.48736499999999999</v>
      </c>
      <c r="C166" s="375">
        <f t="shared" si="59"/>
        <v>0.47074299999999991</v>
      </c>
      <c r="D166" s="375">
        <f t="shared" si="59"/>
        <v>2.6261130000000001</v>
      </c>
      <c r="E166" s="375">
        <f t="shared" si="59"/>
        <v>3.1953689999999999</v>
      </c>
      <c r="F166" s="375">
        <f t="shared" si="59"/>
        <v>13.995408000000003</v>
      </c>
      <c r="G166" s="375">
        <f t="shared" si="59"/>
        <v>11.791223</v>
      </c>
      <c r="H166" s="375">
        <f t="shared" si="59"/>
        <v>11.721064499999997</v>
      </c>
      <c r="I166" s="375">
        <f t="shared" si="59"/>
        <v>7.1049195000000003</v>
      </c>
      <c r="J166" s="375">
        <f>(K165+J165)*(K164-J164)/2</f>
        <v>4.0014939999999992</v>
      </c>
      <c r="K166" s="375">
        <f t="shared" si="59"/>
        <v>3.1565400000000023</v>
      </c>
      <c r="L166" s="375">
        <f t="shared" si="59"/>
        <v>1.0979999999999992</v>
      </c>
      <c r="M166" s="375">
        <f t="shared" si="59"/>
        <v>5.4028000000000041E-2</v>
      </c>
      <c r="N166" s="375">
        <f t="shared" si="59"/>
        <v>0</v>
      </c>
      <c r="O166" s="375">
        <f t="shared" si="59"/>
        <v>0</v>
      </c>
      <c r="P166" s="375">
        <f t="shared" si="59"/>
        <v>0</v>
      </c>
      <c r="Q166" s="375">
        <f t="shared" si="59"/>
        <v>0</v>
      </c>
      <c r="R166" s="375">
        <f t="shared" si="59"/>
        <v>0</v>
      </c>
      <c r="S166" s="375">
        <f>(T165+S165)*(T164-S164)/2</f>
        <v>0</v>
      </c>
      <c r="T166" s="375">
        <f t="shared" si="59"/>
        <v>0</v>
      </c>
      <c r="U166" s="375">
        <f t="shared" si="59"/>
        <v>0</v>
      </c>
      <c r="V166" s="375">
        <f t="shared" si="59"/>
        <v>0</v>
      </c>
      <c r="W166" s="375">
        <f>(X165+W165)*(X164-W164)/2</f>
        <v>0</v>
      </c>
      <c r="X166" s="375">
        <f>(Y165+X165)*(Y164-X164)/2</f>
        <v>0</v>
      </c>
      <c r="Y166" s="369"/>
    </row>
    <row r="167" spans="1:26" ht="13.5" thickBot="1" x14ac:dyDescent="0.25"/>
    <row r="168" spans="1:26" ht="13.5" thickBot="1" x14ac:dyDescent="0.25">
      <c r="A168" s="361" t="s">
        <v>322</v>
      </c>
      <c r="B168" s="359">
        <f>ROW(A168)</f>
        <v>168</v>
      </c>
      <c r="C168" s="363" t="s">
        <v>116</v>
      </c>
      <c r="D168" s="353">
        <f>SUM(B171:Y171)</f>
        <v>68.380602999999994</v>
      </c>
      <c r="E168" s="363" t="s">
        <v>115</v>
      </c>
      <c r="F168" s="354">
        <f>D168/g/J168</f>
        <v>134.04807300243078</v>
      </c>
      <c r="G168" s="363" t="s">
        <v>57</v>
      </c>
      <c r="H168" s="64">
        <v>0.1075</v>
      </c>
      <c r="I168" s="363" t="s">
        <v>270</v>
      </c>
      <c r="J168" s="355">
        <f>H168-L168</f>
        <v>5.1999999999999998E-2</v>
      </c>
      <c r="K168" s="363" t="s">
        <v>271</v>
      </c>
      <c r="L168" s="64">
        <v>5.5500000000000001E-2</v>
      </c>
      <c r="M168" s="363" t="s">
        <v>58</v>
      </c>
      <c r="N168" s="396">
        <v>66.5</v>
      </c>
      <c r="O168" s="363" t="s">
        <v>60</v>
      </c>
      <c r="P168" s="396">
        <v>66.5</v>
      </c>
      <c r="Q168" s="363" t="s">
        <v>61</v>
      </c>
      <c r="R168" s="65">
        <v>133</v>
      </c>
      <c r="S168" s="363" t="s">
        <v>62</v>
      </c>
      <c r="T168" s="65">
        <v>24</v>
      </c>
      <c r="U168" s="363" t="s">
        <v>55</v>
      </c>
      <c r="V168" s="66" t="s">
        <v>399</v>
      </c>
      <c r="W168" s="463" t="s">
        <v>394</v>
      </c>
      <c r="X168" s="465">
        <v>0.86</v>
      </c>
      <c r="Y168" s="463" t="s">
        <v>393</v>
      </c>
      <c r="Z168" s="358">
        <v>13</v>
      </c>
    </row>
    <row r="169" spans="1:26" x14ac:dyDescent="0.2">
      <c r="A169" s="362" t="s">
        <v>33</v>
      </c>
      <c r="B169" s="370">
        <v>0</v>
      </c>
      <c r="C169" s="371">
        <v>5.0000000000000001E-3</v>
      </c>
      <c r="D169" s="371">
        <v>1.2999999999999999E-2</v>
      </c>
      <c r="E169" s="371">
        <v>2.1999999999999999E-2</v>
      </c>
      <c r="F169" s="371">
        <v>4.2999999999999997E-2</v>
      </c>
      <c r="G169" s="371">
        <v>0.11899999999999999</v>
      </c>
      <c r="H169" s="371">
        <v>0.19800000000000001</v>
      </c>
      <c r="I169" s="371">
        <v>0.26700000000000002</v>
      </c>
      <c r="J169" s="371">
        <v>0.34300000000000003</v>
      </c>
      <c r="K169" s="371">
        <v>0.40400000000000003</v>
      </c>
      <c r="L169" s="371">
        <v>0.498</v>
      </c>
      <c r="M169" s="371">
        <v>0.55500000000000005</v>
      </c>
      <c r="N169" s="371">
        <v>0.622</v>
      </c>
      <c r="O169" s="371">
        <v>0.66300000000000003</v>
      </c>
      <c r="P169" s="371">
        <v>0.70399999999999996</v>
      </c>
      <c r="Q169" s="371">
        <v>0.72899999999999998</v>
      </c>
      <c r="R169" s="371">
        <v>0.747</v>
      </c>
      <c r="S169" s="371">
        <v>0.76800000000000002</v>
      </c>
      <c r="T169" s="371">
        <v>0.82099999999999995</v>
      </c>
      <c r="U169" s="371">
        <v>0.85199999999999998</v>
      </c>
      <c r="V169" s="371">
        <v>0.89200000000000002</v>
      </c>
      <c r="W169" s="371">
        <v>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3">
        <v>60</v>
      </c>
      <c r="D170" s="373">
        <v>89.007000000000005</v>
      </c>
      <c r="E170" s="373">
        <v>96.290999999999997</v>
      </c>
      <c r="F170" s="373">
        <v>81.721999999999994</v>
      </c>
      <c r="G170" s="373">
        <v>85.563000000000002</v>
      </c>
      <c r="H170" s="373">
        <v>87.947000000000003</v>
      </c>
      <c r="I170" s="373">
        <v>89.272000000000006</v>
      </c>
      <c r="J170" s="373">
        <v>89.933999999999997</v>
      </c>
      <c r="K170" s="373">
        <v>90.861000000000004</v>
      </c>
      <c r="L170" s="373">
        <v>91.522999999999996</v>
      </c>
      <c r="M170" s="373">
        <v>89.668999999999997</v>
      </c>
      <c r="N170" s="373">
        <v>83.974000000000004</v>
      </c>
      <c r="O170" s="373">
        <v>80.53</v>
      </c>
      <c r="P170" s="373">
        <v>78.94</v>
      </c>
      <c r="Q170" s="373">
        <v>74.171999999999997</v>
      </c>
      <c r="R170" s="373">
        <v>66.887</v>
      </c>
      <c r="S170" s="373">
        <v>53.774999999999999</v>
      </c>
      <c r="T170" s="373">
        <v>18.542999999999999</v>
      </c>
      <c r="U170" s="373">
        <v>7.8150000000000004</v>
      </c>
      <c r="V170" s="373">
        <v>2.1190000000000002</v>
      </c>
      <c r="W170" s="373">
        <v>0</v>
      </c>
      <c r="X170" s="373">
        <v>0</v>
      </c>
      <c r="Y170" s="382">
        <v>0</v>
      </c>
    </row>
    <row r="171" spans="1:26" ht="13.5" thickBot="1" x14ac:dyDescent="0.25">
      <c r="A171" s="379" t="s">
        <v>117</v>
      </c>
      <c r="B171" s="374">
        <f t="shared" ref="B171:X171" si="60">(C170+B170)*(C169-B169)/2</f>
        <v>0.15</v>
      </c>
      <c r="C171" s="375">
        <f t="shared" si="60"/>
        <v>0.596028</v>
      </c>
      <c r="D171" s="375">
        <f t="shared" si="60"/>
        <v>0.83384099999999994</v>
      </c>
      <c r="E171" s="375">
        <f t="shared" si="60"/>
        <v>1.8691364999999995</v>
      </c>
      <c r="F171" s="375">
        <f t="shared" si="60"/>
        <v>6.3568299999999995</v>
      </c>
      <c r="G171" s="375">
        <f t="shared" si="60"/>
        <v>6.8536450000000011</v>
      </c>
      <c r="H171" s="375">
        <f t="shared" si="60"/>
        <v>6.1140555000000001</v>
      </c>
      <c r="I171" s="375">
        <f t="shared" si="60"/>
        <v>6.8098280000000013</v>
      </c>
      <c r="J171" s="375">
        <f t="shared" si="60"/>
        <v>5.5142475000000006</v>
      </c>
      <c r="K171" s="375">
        <f t="shared" si="60"/>
        <v>8.5720479999999988</v>
      </c>
      <c r="L171" s="375">
        <f t="shared" si="60"/>
        <v>5.1639720000000047</v>
      </c>
      <c r="M171" s="375">
        <f t="shared" si="60"/>
        <v>5.8170404999999956</v>
      </c>
      <c r="N171" s="375">
        <f t="shared" si="60"/>
        <v>3.3723320000000032</v>
      </c>
      <c r="O171" s="375">
        <f t="shared" si="60"/>
        <v>3.2691349999999941</v>
      </c>
      <c r="P171" s="375">
        <f t="shared" si="60"/>
        <v>1.9139000000000017</v>
      </c>
      <c r="Q171" s="375">
        <f t="shared" si="60"/>
        <v>1.2695310000000011</v>
      </c>
      <c r="R171" s="375">
        <f t="shared" si="60"/>
        <v>1.2669510000000013</v>
      </c>
      <c r="S171" s="375">
        <f t="shared" si="60"/>
        <v>1.9164269999999977</v>
      </c>
      <c r="T171" s="375">
        <f t="shared" si="60"/>
        <v>0.40854900000000038</v>
      </c>
      <c r="U171" s="375">
        <f t="shared" si="60"/>
        <v>0.19868000000000019</v>
      </c>
      <c r="V171" s="375">
        <f t="shared" si="60"/>
        <v>0.114426</v>
      </c>
      <c r="W171" s="375">
        <f t="shared" si="60"/>
        <v>0</v>
      </c>
      <c r="X171" s="375">
        <f t="shared" si="60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323</v>
      </c>
      <c r="B173" s="359">
        <f>ROW(A173)</f>
        <v>173</v>
      </c>
      <c r="C173" s="363" t="s">
        <v>116</v>
      </c>
      <c r="D173" s="353">
        <f>SUM(B176:Y176)</f>
        <v>67.985428500000012</v>
      </c>
      <c r="E173" s="363" t="s">
        <v>115</v>
      </c>
      <c r="F173" s="354">
        <f>D173/g/J173</f>
        <v>181.89545859519862</v>
      </c>
      <c r="G173" s="363" t="s">
        <v>57</v>
      </c>
      <c r="H173" s="64">
        <v>9.1799999999999993E-2</v>
      </c>
      <c r="I173" s="363" t="s">
        <v>270</v>
      </c>
      <c r="J173" s="355">
        <f>H173-L173</f>
        <v>3.8099999999999988E-2</v>
      </c>
      <c r="K173" s="363" t="s">
        <v>271</v>
      </c>
      <c r="L173" s="64">
        <v>5.3700000000000005E-2</v>
      </c>
      <c r="M173" s="363" t="s">
        <v>58</v>
      </c>
      <c r="N173" s="396">
        <v>66.5</v>
      </c>
      <c r="O173" s="363" t="s">
        <v>60</v>
      </c>
      <c r="P173" s="396">
        <v>66.5</v>
      </c>
      <c r="Q173" s="363" t="s">
        <v>61</v>
      </c>
      <c r="R173" s="65">
        <v>133</v>
      </c>
      <c r="S173" s="363" t="s">
        <v>62</v>
      </c>
      <c r="T173" s="65">
        <v>24</v>
      </c>
      <c r="U173" s="363" t="s">
        <v>55</v>
      </c>
      <c r="V173" s="66" t="s">
        <v>399</v>
      </c>
      <c r="W173" s="463" t="s">
        <v>394</v>
      </c>
      <c r="X173" s="465">
        <v>0.33</v>
      </c>
      <c r="Y173" s="463" t="s">
        <v>393</v>
      </c>
      <c r="Z173" s="358">
        <v>15</v>
      </c>
    </row>
    <row r="174" spans="1:26" x14ac:dyDescent="0.2">
      <c r="A174" s="362" t="s">
        <v>33</v>
      </c>
      <c r="B174" s="370">
        <v>0</v>
      </c>
      <c r="C174" s="371">
        <v>4.0000000000000001E-3</v>
      </c>
      <c r="D174" s="371">
        <v>7.0000000000000001E-3</v>
      </c>
      <c r="E174" s="371">
        <v>0.01</v>
      </c>
      <c r="F174" s="371">
        <v>2.1999999999999999E-2</v>
      </c>
      <c r="G174" s="371">
        <v>2.8000000000000001E-2</v>
      </c>
      <c r="H174" s="371">
        <v>4.1000000000000002E-2</v>
      </c>
      <c r="I174" s="371">
        <v>5.8000000000000003E-2</v>
      </c>
      <c r="J174" s="371">
        <v>7.6999999999999999E-2</v>
      </c>
      <c r="K174" s="371">
        <v>8.8999999999999996E-2</v>
      </c>
      <c r="L174" s="371">
        <v>9.7000000000000003E-2</v>
      </c>
      <c r="M174" s="371">
        <v>0.11899999999999999</v>
      </c>
      <c r="N174" s="371">
        <v>0.14699999999999999</v>
      </c>
      <c r="O174" s="371">
        <v>0.17699999999999999</v>
      </c>
      <c r="P174" s="371">
        <v>0.20699999999999999</v>
      </c>
      <c r="Q174" s="371">
        <v>0.253</v>
      </c>
      <c r="R174" s="371">
        <v>0.25900000000000001</v>
      </c>
      <c r="S174" s="371">
        <v>0.27200000000000002</v>
      </c>
      <c r="T174" s="371">
        <v>0.28000000000000003</v>
      </c>
      <c r="U174" s="371">
        <v>0.28599999999999998</v>
      </c>
      <c r="V174" s="371">
        <v>0.29399999999999998</v>
      </c>
      <c r="W174" s="371">
        <v>0.32800000000000001</v>
      </c>
      <c r="X174" s="371">
        <v>2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100.52800000000001</v>
      </c>
      <c r="D175" s="376">
        <v>197.49299999999999</v>
      </c>
      <c r="E175" s="376">
        <v>222.03200000000001</v>
      </c>
      <c r="F175" s="376">
        <v>241.42500000000001</v>
      </c>
      <c r="G175" s="376">
        <v>237.863</v>
      </c>
      <c r="H175" s="376">
        <v>239.446</v>
      </c>
      <c r="I175" s="376">
        <v>252.50700000000001</v>
      </c>
      <c r="J175" s="376">
        <v>263.98399999999998</v>
      </c>
      <c r="K175" s="376">
        <v>275.46199999999999</v>
      </c>
      <c r="L175" s="376">
        <v>271.50400000000002</v>
      </c>
      <c r="M175" s="376">
        <v>278.62799999999999</v>
      </c>
      <c r="N175" s="376">
        <v>281.39800000000002</v>
      </c>
      <c r="O175" s="376">
        <v>272.29599999999999</v>
      </c>
      <c r="P175" s="376">
        <v>258.44299999999998</v>
      </c>
      <c r="Q175" s="376">
        <v>218.47</v>
      </c>
      <c r="R175" s="376">
        <v>188.786</v>
      </c>
      <c r="S175" s="376">
        <v>74.802000000000007</v>
      </c>
      <c r="T175" s="376">
        <v>31.265999999999998</v>
      </c>
      <c r="U175" s="376">
        <v>15.831</v>
      </c>
      <c r="V175" s="376">
        <v>8.7070000000000007</v>
      </c>
      <c r="W175" s="376">
        <v>0</v>
      </c>
      <c r="X175" s="373">
        <v>0</v>
      </c>
      <c r="Y175" s="382">
        <v>0</v>
      </c>
    </row>
    <row r="176" spans="1:26" ht="13.5" thickBot="1" x14ac:dyDescent="0.25">
      <c r="A176" s="379" t="s">
        <v>117</v>
      </c>
      <c r="B176" s="374">
        <f t="shared" ref="B176:X176" si="61">(C175+B175)*(C174-B174)/2</f>
        <v>0.20105600000000001</v>
      </c>
      <c r="C176" s="375">
        <f t="shared" si="61"/>
        <v>0.44703150000000003</v>
      </c>
      <c r="D176" s="375">
        <f t="shared" si="61"/>
        <v>0.6292875</v>
      </c>
      <c r="E176" s="375">
        <f t="shared" si="61"/>
        <v>2.7807419999999996</v>
      </c>
      <c r="F176" s="375">
        <f t="shared" si="61"/>
        <v>1.4378640000000005</v>
      </c>
      <c r="G176" s="375">
        <f t="shared" si="61"/>
        <v>3.1025084999999999</v>
      </c>
      <c r="H176" s="375">
        <f t="shared" si="61"/>
        <v>4.1816005000000001</v>
      </c>
      <c r="I176" s="375">
        <f t="shared" si="61"/>
        <v>4.9066644999999989</v>
      </c>
      <c r="J176" s="375">
        <f t="shared" si="61"/>
        <v>3.2366759999999988</v>
      </c>
      <c r="K176" s="375">
        <f t="shared" si="61"/>
        <v>2.187864000000002</v>
      </c>
      <c r="L176" s="375">
        <f t="shared" si="61"/>
        <v>6.0514519999999985</v>
      </c>
      <c r="M176" s="375">
        <f t="shared" si="61"/>
        <v>7.8403640000000001</v>
      </c>
      <c r="N176" s="375">
        <f t="shared" si="61"/>
        <v>8.3054099999999984</v>
      </c>
      <c r="O176" s="375">
        <f t="shared" si="61"/>
        <v>7.9610850000000006</v>
      </c>
      <c r="P176" s="375">
        <f t="shared" si="61"/>
        <v>10.968999000000004</v>
      </c>
      <c r="Q176" s="375">
        <f t="shared" si="61"/>
        <v>1.2217680000000011</v>
      </c>
      <c r="R176" s="375">
        <f t="shared" si="61"/>
        <v>1.7133220000000016</v>
      </c>
      <c r="S176" s="375">
        <f t="shared" si="61"/>
        <v>0.42427200000000043</v>
      </c>
      <c r="T176" s="375">
        <f t="shared" si="61"/>
        <v>0.14129099999999881</v>
      </c>
      <c r="U176" s="375">
        <f t="shared" si="61"/>
        <v>9.8152000000000086E-2</v>
      </c>
      <c r="V176" s="375">
        <f t="shared" si="61"/>
        <v>0.14801900000000015</v>
      </c>
      <c r="W176" s="375">
        <f t="shared" si="61"/>
        <v>0</v>
      </c>
      <c r="X176" s="375">
        <f t="shared" si="61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324</v>
      </c>
      <c r="B178" s="359">
        <f>ROW(A178)</f>
        <v>178</v>
      </c>
      <c r="C178" s="363" t="s">
        <v>116</v>
      </c>
      <c r="D178" s="353">
        <f>SUM(B181:Y181)</f>
        <v>73.557381500000005</v>
      </c>
      <c r="E178" s="363" t="s">
        <v>115</v>
      </c>
      <c r="F178" s="354">
        <f>D178/g/J178</f>
        <v>156.86619302308719</v>
      </c>
      <c r="G178" s="363" t="s">
        <v>57</v>
      </c>
      <c r="H178" s="64">
        <v>0.1022</v>
      </c>
      <c r="I178" s="363" t="s">
        <v>270</v>
      </c>
      <c r="J178" s="355">
        <f>H178-L178</f>
        <v>4.7800000000000002E-2</v>
      </c>
      <c r="K178" s="363" t="s">
        <v>271</v>
      </c>
      <c r="L178" s="64">
        <v>5.4399999999999997E-2</v>
      </c>
      <c r="M178" s="363" t="s">
        <v>58</v>
      </c>
      <c r="N178" s="396">
        <v>66.5</v>
      </c>
      <c r="O178" s="363" t="s">
        <v>60</v>
      </c>
      <c r="P178" s="396">
        <v>66.5</v>
      </c>
      <c r="Q178" s="363" t="s">
        <v>61</v>
      </c>
      <c r="R178" s="65">
        <v>133</v>
      </c>
      <c r="S178" s="363" t="s">
        <v>62</v>
      </c>
      <c r="T178" s="65">
        <v>24</v>
      </c>
      <c r="U178" s="363" t="s">
        <v>55</v>
      </c>
      <c r="V178" s="66" t="s">
        <v>399</v>
      </c>
      <c r="W178" s="463" t="s">
        <v>394</v>
      </c>
      <c r="X178" s="465">
        <v>2.36</v>
      </c>
      <c r="Y178" s="463" t="s">
        <v>393</v>
      </c>
      <c r="Z178" s="358">
        <v>6</v>
      </c>
    </row>
    <row r="179" spans="1:26" x14ac:dyDescent="0.2">
      <c r="A179" s="362" t="s">
        <v>33</v>
      </c>
      <c r="B179" s="370">
        <v>0</v>
      </c>
      <c r="C179" s="371">
        <v>1.4E-2</v>
      </c>
      <c r="D179" s="371">
        <v>5.6000000000000001E-2</v>
      </c>
      <c r="E179" s="371">
        <v>9.1999999999999998E-2</v>
      </c>
      <c r="F179" s="371">
        <v>0.16</v>
      </c>
      <c r="G179" s="371">
        <v>0.23200000000000001</v>
      </c>
      <c r="H179" s="371">
        <v>0.36299999999999999</v>
      </c>
      <c r="I179" s="371">
        <v>0.499</v>
      </c>
      <c r="J179" s="371">
        <v>0.65500000000000003</v>
      </c>
      <c r="K179" s="371">
        <v>0.84299999999999997</v>
      </c>
      <c r="L179" s="371">
        <v>1.216</v>
      </c>
      <c r="M179" s="371">
        <v>1.3680000000000001</v>
      </c>
      <c r="N179" s="371">
        <v>1.54</v>
      </c>
      <c r="O179" s="371">
        <v>1.675</v>
      </c>
      <c r="P179" s="371">
        <v>1.861</v>
      </c>
      <c r="Q179" s="371">
        <v>2.0129999999999999</v>
      </c>
      <c r="R179" s="371">
        <v>2.1589999999999998</v>
      </c>
      <c r="S179" s="371">
        <v>2.302</v>
      </c>
      <c r="T179" s="371">
        <v>2.4620000000000002</v>
      </c>
      <c r="U179" s="371">
        <v>2.5979999999999999</v>
      </c>
      <c r="V179" s="371">
        <v>2.5979999999999999</v>
      </c>
      <c r="W179" s="371">
        <v>2.5979999999999999</v>
      </c>
      <c r="X179" s="371">
        <v>2.5979999999999999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54.222000000000001</v>
      </c>
      <c r="D180" s="376">
        <v>43.456000000000003</v>
      </c>
      <c r="E180" s="376">
        <v>50.185000000000002</v>
      </c>
      <c r="F180" s="376">
        <v>54.063000000000002</v>
      </c>
      <c r="G180" s="376">
        <v>48.363999999999997</v>
      </c>
      <c r="H180" s="376">
        <v>45.752000000000002</v>
      </c>
      <c r="I180" s="376">
        <v>43.14</v>
      </c>
      <c r="J180" s="376">
        <v>40.29</v>
      </c>
      <c r="K180" s="376">
        <v>37.835999999999999</v>
      </c>
      <c r="L180" s="376">
        <v>32.612000000000002</v>
      </c>
      <c r="M180" s="376">
        <v>30.317</v>
      </c>
      <c r="N180" s="376">
        <v>26.359000000000002</v>
      </c>
      <c r="O180" s="376">
        <v>23.509</v>
      </c>
      <c r="P180" s="376">
        <v>19.077000000000002</v>
      </c>
      <c r="Q180" s="376">
        <v>14.565</v>
      </c>
      <c r="R180" s="376">
        <v>10.053000000000001</v>
      </c>
      <c r="S180" s="376">
        <v>4.8280000000000003</v>
      </c>
      <c r="T180" s="376">
        <v>1.504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117</v>
      </c>
      <c r="B181" s="374">
        <f t="shared" ref="B181:X181" si="62">(C180+B180)*(C179-B179)/2</f>
        <v>0.379554</v>
      </c>
      <c r="C181" s="375">
        <f t="shared" si="62"/>
        <v>2.0512380000000001</v>
      </c>
      <c r="D181" s="375">
        <f t="shared" si="62"/>
        <v>1.685538</v>
      </c>
      <c r="E181" s="375">
        <f t="shared" si="62"/>
        <v>3.5444320000000005</v>
      </c>
      <c r="F181" s="375">
        <f t="shared" si="62"/>
        <v>3.6873720000000003</v>
      </c>
      <c r="G181" s="375">
        <f t="shared" si="62"/>
        <v>6.1645979999999989</v>
      </c>
      <c r="H181" s="375">
        <f t="shared" si="62"/>
        <v>6.0446559999999998</v>
      </c>
      <c r="I181" s="375">
        <f t="shared" si="62"/>
        <v>6.5075400000000014</v>
      </c>
      <c r="J181" s="375">
        <f t="shared" si="62"/>
        <v>7.343843999999998</v>
      </c>
      <c r="K181" s="375">
        <f t="shared" si="62"/>
        <v>13.138552000000001</v>
      </c>
      <c r="L181" s="375">
        <f t="shared" si="62"/>
        <v>4.7826040000000045</v>
      </c>
      <c r="M181" s="375">
        <f t="shared" si="62"/>
        <v>4.8741359999999982</v>
      </c>
      <c r="N181" s="375">
        <f t="shared" si="62"/>
        <v>3.3660900000000002</v>
      </c>
      <c r="O181" s="375">
        <f t="shared" si="62"/>
        <v>3.9604979999999985</v>
      </c>
      <c r="P181" s="375">
        <f t="shared" si="62"/>
        <v>2.5567919999999988</v>
      </c>
      <c r="Q181" s="375">
        <f t="shared" si="62"/>
        <v>1.797113999999999</v>
      </c>
      <c r="R181" s="375">
        <f t="shared" si="62"/>
        <v>1.0639915000000018</v>
      </c>
      <c r="S181" s="375">
        <f t="shared" si="62"/>
        <v>0.50656000000000045</v>
      </c>
      <c r="T181" s="375">
        <f t="shared" si="62"/>
        <v>0.10227199999999975</v>
      </c>
      <c r="U181" s="375">
        <f t="shared" si="62"/>
        <v>0</v>
      </c>
      <c r="V181" s="375">
        <f t="shared" si="62"/>
        <v>0</v>
      </c>
      <c r="W181" s="375">
        <f t="shared" si="62"/>
        <v>0</v>
      </c>
      <c r="X181" s="375">
        <f t="shared" si="62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325</v>
      </c>
      <c r="B183" s="359">
        <f>ROW(A183)</f>
        <v>183</v>
      </c>
      <c r="C183" s="363" t="s">
        <v>116</v>
      </c>
      <c r="D183" s="353">
        <f>SUM(B186:Y186)</f>
        <v>73.169517999999997</v>
      </c>
      <c r="E183" s="363" t="s">
        <v>115</v>
      </c>
      <c r="F183" s="354">
        <f>D183/g/J183</f>
        <v>177.58729673316827</v>
      </c>
      <c r="G183" s="363" t="s">
        <v>57</v>
      </c>
      <c r="H183" s="64">
        <v>9.6000000000000002E-2</v>
      </c>
      <c r="I183" s="363" t="s">
        <v>270</v>
      </c>
      <c r="J183" s="355">
        <f>H183-L183</f>
        <v>4.2000000000000003E-2</v>
      </c>
      <c r="K183" s="363" t="s">
        <v>271</v>
      </c>
      <c r="L183" s="64">
        <v>5.3999999999999999E-2</v>
      </c>
      <c r="M183" s="363" t="s">
        <v>58</v>
      </c>
      <c r="N183" s="396">
        <v>66.5</v>
      </c>
      <c r="O183" s="363" t="s">
        <v>60</v>
      </c>
      <c r="P183" s="396">
        <v>66.5</v>
      </c>
      <c r="Q183" s="363" t="s">
        <v>61</v>
      </c>
      <c r="R183" s="65">
        <v>133</v>
      </c>
      <c r="S183" s="363" t="s">
        <v>62</v>
      </c>
      <c r="T183" s="65">
        <v>24</v>
      </c>
      <c r="U183" s="363" t="s">
        <v>55</v>
      </c>
      <c r="V183" s="66" t="s">
        <v>399</v>
      </c>
      <c r="W183" s="463" t="s">
        <v>394</v>
      </c>
      <c r="X183" s="465">
        <v>0.87</v>
      </c>
      <c r="Y183" s="463" t="s">
        <v>393</v>
      </c>
      <c r="Z183" s="358">
        <v>15</v>
      </c>
    </row>
    <row r="184" spans="1:26" x14ac:dyDescent="0.2">
      <c r="A184" s="362" t="s">
        <v>33</v>
      </c>
      <c r="B184" s="370">
        <v>0</v>
      </c>
      <c r="C184" s="371">
        <v>0.01</v>
      </c>
      <c r="D184" s="371">
        <v>2.3E-2</v>
      </c>
      <c r="E184" s="371">
        <v>0.04</v>
      </c>
      <c r="F184" s="371">
        <v>0.11799999999999999</v>
      </c>
      <c r="G184" s="371">
        <v>0.28299999999999997</v>
      </c>
      <c r="H184" s="371">
        <v>0.51</v>
      </c>
      <c r="I184" s="371">
        <v>0.68799999999999994</v>
      </c>
      <c r="J184" s="371">
        <v>0.78700000000000003</v>
      </c>
      <c r="K184" s="371">
        <v>0.85199999999999998</v>
      </c>
      <c r="L184" s="371">
        <v>0.873</v>
      </c>
      <c r="M184" s="371">
        <v>0.873</v>
      </c>
      <c r="N184" s="371">
        <v>0.873</v>
      </c>
      <c r="O184" s="371">
        <v>0.873</v>
      </c>
      <c r="P184" s="371">
        <v>0.873</v>
      </c>
      <c r="Q184" s="371">
        <v>0.873</v>
      </c>
      <c r="R184" s="371">
        <v>0.873</v>
      </c>
      <c r="S184" s="371">
        <v>0.873</v>
      </c>
      <c r="T184" s="371">
        <v>0.873</v>
      </c>
      <c r="U184" s="371">
        <v>0.873</v>
      </c>
      <c r="V184" s="371">
        <v>0.873</v>
      </c>
      <c r="W184" s="371">
        <v>0.873</v>
      </c>
      <c r="X184" s="371"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6">
        <v>76.073999999999998</v>
      </c>
      <c r="D185" s="376">
        <v>100.185</v>
      </c>
      <c r="E185" s="376">
        <v>92.424999999999997</v>
      </c>
      <c r="F185" s="376">
        <v>100.878</v>
      </c>
      <c r="G185" s="376">
        <v>102.402</v>
      </c>
      <c r="H185" s="376">
        <v>96.442999999999998</v>
      </c>
      <c r="I185" s="376">
        <v>87.436000000000007</v>
      </c>
      <c r="J185" s="376">
        <v>25.911999999999999</v>
      </c>
      <c r="K185" s="376">
        <v>7.2060000000000004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v>0</v>
      </c>
      <c r="U185" s="373">
        <v>0</v>
      </c>
      <c r="V185" s="373">
        <v>0</v>
      </c>
      <c r="W185" s="373">
        <v>0</v>
      </c>
      <c r="X185" s="373">
        <v>0</v>
      </c>
      <c r="Y185" s="382">
        <v>0</v>
      </c>
    </row>
    <row r="186" spans="1:26" ht="13.5" thickBot="1" x14ac:dyDescent="0.25">
      <c r="A186" s="379" t="s">
        <v>117</v>
      </c>
      <c r="B186" s="374">
        <f t="shared" ref="B186:X186" si="63">(C185+B185)*(C184-B184)/2</f>
        <v>0.38036999999999999</v>
      </c>
      <c r="C186" s="375">
        <f t="shared" si="63"/>
        <v>1.1456835000000001</v>
      </c>
      <c r="D186" s="375">
        <f t="shared" si="63"/>
        <v>1.6371850000000003</v>
      </c>
      <c r="E186" s="375">
        <f t="shared" si="63"/>
        <v>7.5388169999999981</v>
      </c>
      <c r="F186" s="375">
        <f t="shared" si="63"/>
        <v>16.770599999999998</v>
      </c>
      <c r="G186" s="375">
        <f t="shared" si="63"/>
        <v>22.568907500000002</v>
      </c>
      <c r="H186" s="375">
        <f t="shared" si="63"/>
        <v>16.365230999999994</v>
      </c>
      <c r="I186" s="375">
        <f t="shared" si="63"/>
        <v>5.6107260000000059</v>
      </c>
      <c r="J186" s="375">
        <f t="shared" si="63"/>
        <v>1.0763349999999992</v>
      </c>
      <c r="K186" s="375">
        <f t="shared" si="63"/>
        <v>7.5663000000000077E-2</v>
      </c>
      <c r="L186" s="375">
        <f t="shared" si="63"/>
        <v>0</v>
      </c>
      <c r="M186" s="375">
        <f t="shared" si="63"/>
        <v>0</v>
      </c>
      <c r="N186" s="375">
        <f t="shared" si="63"/>
        <v>0</v>
      </c>
      <c r="O186" s="375">
        <f t="shared" si="63"/>
        <v>0</v>
      </c>
      <c r="P186" s="375">
        <f t="shared" si="63"/>
        <v>0</v>
      </c>
      <c r="Q186" s="375">
        <f t="shared" si="63"/>
        <v>0</v>
      </c>
      <c r="R186" s="375">
        <f t="shared" si="63"/>
        <v>0</v>
      </c>
      <c r="S186" s="375">
        <f t="shared" si="63"/>
        <v>0</v>
      </c>
      <c r="T186" s="375">
        <f t="shared" si="63"/>
        <v>0</v>
      </c>
      <c r="U186" s="375">
        <f t="shared" si="63"/>
        <v>0</v>
      </c>
      <c r="V186" s="375">
        <f t="shared" si="63"/>
        <v>0</v>
      </c>
      <c r="W186" s="375">
        <f t="shared" si="63"/>
        <v>0</v>
      </c>
      <c r="X186" s="375">
        <f t="shared" si="63"/>
        <v>0</v>
      </c>
      <c r="Y186" s="369"/>
    </row>
    <row r="187" spans="1:26" ht="13.5" thickBo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326</v>
      </c>
      <c r="B188" s="359">
        <f>ROW(A188)</f>
        <v>188</v>
      </c>
      <c r="C188" s="363" t="s">
        <v>116</v>
      </c>
      <c r="D188" s="353">
        <f>SUM(B191:Y191)</f>
        <v>75.254384000000016</v>
      </c>
      <c r="E188" s="363" t="s">
        <v>115</v>
      </c>
      <c r="F188" s="354">
        <f>D188/g/J188</f>
        <v>232.46033422914161</v>
      </c>
      <c r="G188" s="363" t="s">
        <v>57</v>
      </c>
      <c r="H188" s="64">
        <v>9.5000000000000001E-2</v>
      </c>
      <c r="I188" s="363" t="s">
        <v>270</v>
      </c>
      <c r="J188" s="355">
        <f>H188-L188</f>
        <v>3.3000000000000002E-2</v>
      </c>
      <c r="K188" s="363" t="s">
        <v>271</v>
      </c>
      <c r="L188" s="64">
        <f>0.095-0.033</f>
        <v>6.2E-2</v>
      </c>
      <c r="M188" s="363" t="s">
        <v>58</v>
      </c>
      <c r="N188" s="396">
        <v>66.5</v>
      </c>
      <c r="O188" s="363" t="s">
        <v>60</v>
      </c>
      <c r="P188" s="396">
        <v>66.5</v>
      </c>
      <c r="Q188" s="363" t="s">
        <v>61</v>
      </c>
      <c r="R188" s="65">
        <v>133</v>
      </c>
      <c r="S188" s="363" t="s">
        <v>62</v>
      </c>
      <c r="T188" s="65">
        <v>24</v>
      </c>
      <c r="U188" s="363" t="s">
        <v>55</v>
      </c>
      <c r="V188" s="66" t="s">
        <v>399</v>
      </c>
      <c r="W188" s="463" t="s">
        <v>394</v>
      </c>
      <c r="X188" s="465">
        <v>1.5</v>
      </c>
      <c r="Y188" s="463" t="s">
        <v>393</v>
      </c>
      <c r="Z188" s="358">
        <v>12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3.1E-2</v>
      </c>
      <c r="E189" s="371">
        <v>6.2E-2</v>
      </c>
      <c r="F189" s="371">
        <v>0.11700000000000001</v>
      </c>
      <c r="G189" s="371">
        <v>1.2110000000000001</v>
      </c>
      <c r="H189" s="371">
        <v>1.3759999999999999</v>
      </c>
      <c r="I189" s="371">
        <v>1.456</v>
      </c>
      <c r="J189" s="371">
        <v>1.532</v>
      </c>
      <c r="K189" s="371">
        <v>1.577</v>
      </c>
      <c r="L189" s="371">
        <v>2</v>
      </c>
      <c r="M189" s="371">
        <v>2</v>
      </c>
      <c r="N189" s="371">
        <v>2</v>
      </c>
      <c r="O189" s="371">
        <v>2</v>
      </c>
      <c r="P189" s="371">
        <v>2</v>
      </c>
      <c r="Q189" s="371">
        <v>2</v>
      </c>
      <c r="R189" s="371">
        <v>2</v>
      </c>
      <c r="S189" s="371">
        <v>2</v>
      </c>
      <c r="T189" s="371">
        <v>2</v>
      </c>
      <c r="U189" s="371">
        <v>2</v>
      </c>
      <c r="V189" s="371">
        <v>2</v>
      </c>
      <c r="W189" s="371">
        <v>2</v>
      </c>
      <c r="X189" s="371">
        <f t="shared" ref="T189:X190" si="64">W189</f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75.924000000000007</v>
      </c>
      <c r="D190" s="373">
        <v>84.147999999999996</v>
      </c>
      <c r="E190" s="373">
        <v>70.441000000000003</v>
      </c>
      <c r="F190" s="373">
        <v>73.659000000000006</v>
      </c>
      <c r="G190" s="373">
        <v>38.737000000000002</v>
      </c>
      <c r="H190" s="373">
        <v>14.779</v>
      </c>
      <c r="I190" s="373">
        <v>7.2709999999999999</v>
      </c>
      <c r="J190" s="373">
        <v>3.3370000000000002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v>0</v>
      </c>
      <c r="T190" s="373">
        <f t="shared" si="64"/>
        <v>0</v>
      </c>
      <c r="U190" s="373">
        <f t="shared" si="64"/>
        <v>0</v>
      </c>
      <c r="V190" s="373">
        <f t="shared" si="64"/>
        <v>0</v>
      </c>
      <c r="W190" s="373">
        <f t="shared" si="64"/>
        <v>0</v>
      </c>
      <c r="X190" s="373">
        <f t="shared" si="64"/>
        <v>0</v>
      </c>
      <c r="Y190" s="382">
        <v>0</v>
      </c>
    </row>
    <row r="191" spans="1:26" ht="13.5" thickBot="1" x14ac:dyDescent="0.25">
      <c r="A191" s="379" t="s">
        <v>117</v>
      </c>
      <c r="B191" s="374">
        <f t="shared" ref="B191:V191" si="65">(C190+B190)*(C189-B189)/2</f>
        <v>0.75924000000000014</v>
      </c>
      <c r="C191" s="375">
        <f t="shared" si="65"/>
        <v>0.88039599999999996</v>
      </c>
      <c r="D191" s="375">
        <f t="shared" si="65"/>
        <v>2.3961294999999998</v>
      </c>
      <c r="E191" s="375">
        <f t="shared" si="65"/>
        <v>3.9627500000000011</v>
      </c>
      <c r="F191" s="375">
        <f t="shared" si="65"/>
        <v>61.480612000000015</v>
      </c>
      <c r="G191" s="375">
        <f t="shared" si="65"/>
        <v>4.4150699999999956</v>
      </c>
      <c r="H191" s="375">
        <f t="shared" si="65"/>
        <v>0.88200000000000078</v>
      </c>
      <c r="I191" s="375">
        <f t="shared" si="65"/>
        <v>0.40310400000000035</v>
      </c>
      <c r="J191" s="375">
        <f>(K190+J190)*(K189-J189)/2</f>
        <v>7.5082499999999885E-2</v>
      </c>
      <c r="K191" s="375">
        <f t="shared" si="65"/>
        <v>0</v>
      </c>
      <c r="L191" s="375">
        <f t="shared" si="65"/>
        <v>0</v>
      </c>
      <c r="M191" s="375">
        <f t="shared" si="65"/>
        <v>0</v>
      </c>
      <c r="N191" s="375">
        <f t="shared" si="65"/>
        <v>0</v>
      </c>
      <c r="O191" s="375">
        <f t="shared" si="65"/>
        <v>0</v>
      </c>
      <c r="P191" s="375">
        <f t="shared" si="65"/>
        <v>0</v>
      </c>
      <c r="Q191" s="375">
        <f t="shared" si="65"/>
        <v>0</v>
      </c>
      <c r="R191" s="375">
        <f t="shared" si="65"/>
        <v>0</v>
      </c>
      <c r="S191" s="375">
        <f>(T190+S190)*(T189-S189)/2</f>
        <v>0</v>
      </c>
      <c r="T191" s="375">
        <f t="shared" si="65"/>
        <v>0</v>
      </c>
      <c r="U191" s="375">
        <f t="shared" si="65"/>
        <v>0</v>
      </c>
      <c r="V191" s="375">
        <f t="shared" si="65"/>
        <v>0</v>
      </c>
      <c r="W191" s="375">
        <f>(X190+W190)*(X189-W189)/2</f>
        <v>0</v>
      </c>
      <c r="X191" s="375">
        <f>(Y190+X190)*(Y189-X189)/2</f>
        <v>0</v>
      </c>
      <c r="Y191" s="369"/>
    </row>
    <row r="192" spans="1:26" ht="13.5" thickBot="1" x14ac:dyDescent="0.25">
      <c r="A192" s="6" t="s">
        <v>373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536</v>
      </c>
      <c r="B193" s="359">
        <f>ROW(A193)</f>
        <v>193</v>
      </c>
      <c r="C193" s="363" t="s">
        <v>116</v>
      </c>
      <c r="D193" s="353">
        <f>SUM(B196:Y196)</f>
        <v>141.04999999999998</v>
      </c>
      <c r="E193" s="363" t="s">
        <v>115</v>
      </c>
      <c r="F193" s="354">
        <f>D193/g/J193</f>
        <v>186.24592648930721</v>
      </c>
      <c r="G193" s="363" t="s">
        <v>57</v>
      </c>
      <c r="H193" s="64">
        <v>0.16189999999999999</v>
      </c>
      <c r="I193" s="363" t="s">
        <v>270</v>
      </c>
      <c r="J193" s="355">
        <f>H193-L193</f>
        <v>7.7199999999999991E-2</v>
      </c>
      <c r="K193" s="363" t="s">
        <v>271</v>
      </c>
      <c r="L193" s="64">
        <v>8.4699999999999998E-2</v>
      </c>
      <c r="M193" s="363" t="s">
        <v>58</v>
      </c>
      <c r="N193" s="65">
        <v>114</v>
      </c>
      <c r="O193" s="363" t="s">
        <v>60</v>
      </c>
      <c r="P193" s="65">
        <v>114</v>
      </c>
      <c r="Q193" s="363" t="s">
        <v>61</v>
      </c>
      <c r="R193" s="65">
        <v>228</v>
      </c>
      <c r="S193" s="363" t="s">
        <v>62</v>
      </c>
      <c r="T193" s="65">
        <v>24</v>
      </c>
      <c r="U193" s="363" t="s">
        <v>55</v>
      </c>
      <c r="V193" s="66" t="s">
        <v>120</v>
      </c>
      <c r="W193" s="463" t="s">
        <v>394</v>
      </c>
      <c r="X193" s="465">
        <v>0.96</v>
      </c>
      <c r="Y193" s="463" t="s">
        <v>393</v>
      </c>
      <c r="Z193" s="358">
        <v>15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0.03</v>
      </c>
      <c r="E194" s="371">
        <v>0.05</v>
      </c>
      <c r="F194" s="371">
        <v>0.6</v>
      </c>
      <c r="G194" s="371">
        <v>0.67</v>
      </c>
      <c r="H194" s="371">
        <v>0.7</v>
      </c>
      <c r="I194" s="371">
        <v>0.8</v>
      </c>
      <c r="J194" s="371">
        <v>0.9</v>
      </c>
      <c r="K194" s="371">
        <v>1.05</v>
      </c>
      <c r="L194" s="371">
        <f t="shared" ref="L194:W194" si="66">K194</f>
        <v>1.05</v>
      </c>
      <c r="M194" s="371">
        <f t="shared" si="66"/>
        <v>1.05</v>
      </c>
      <c r="N194" s="371">
        <f t="shared" si="66"/>
        <v>1.05</v>
      </c>
      <c r="O194" s="371">
        <f t="shared" si="66"/>
        <v>1.05</v>
      </c>
      <c r="P194" s="371">
        <f t="shared" si="66"/>
        <v>1.05</v>
      </c>
      <c r="Q194" s="371">
        <f t="shared" si="66"/>
        <v>1.05</v>
      </c>
      <c r="R194" s="371">
        <f t="shared" si="66"/>
        <v>1.05</v>
      </c>
      <c r="S194" s="371">
        <f t="shared" si="66"/>
        <v>1.05</v>
      </c>
      <c r="T194" s="371">
        <f t="shared" si="66"/>
        <v>1.05</v>
      </c>
      <c r="U194" s="371">
        <f t="shared" si="66"/>
        <v>1.05</v>
      </c>
      <c r="V194" s="371">
        <f t="shared" si="66"/>
        <v>1.05</v>
      </c>
      <c r="W194" s="371">
        <f t="shared" si="66"/>
        <v>1.05</v>
      </c>
      <c r="X194" s="371"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350</v>
      </c>
      <c r="D195" s="373">
        <v>250</v>
      </c>
      <c r="E195" s="373">
        <v>210</v>
      </c>
      <c r="F195" s="373">
        <v>150</v>
      </c>
      <c r="G195" s="373">
        <v>140</v>
      </c>
      <c r="H195" s="373">
        <v>130</v>
      </c>
      <c r="I195" s="373">
        <v>65</v>
      </c>
      <c r="J195" s="373">
        <v>30</v>
      </c>
      <c r="K195" s="373">
        <v>0</v>
      </c>
      <c r="L195" s="373">
        <v>0</v>
      </c>
      <c r="M195" s="373">
        <v>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ref="S195:X195" si="67">R195</f>
        <v>0</v>
      </c>
      <c r="T195" s="373">
        <f t="shared" si="67"/>
        <v>0</v>
      </c>
      <c r="U195" s="373">
        <f t="shared" si="67"/>
        <v>0</v>
      </c>
      <c r="V195" s="373">
        <f t="shared" si="67"/>
        <v>0</v>
      </c>
      <c r="W195" s="373">
        <f t="shared" si="67"/>
        <v>0</v>
      </c>
      <c r="X195" s="373">
        <f t="shared" si="67"/>
        <v>0</v>
      </c>
      <c r="Y195" s="382">
        <v>0</v>
      </c>
    </row>
    <row r="196" spans="1:26" ht="13.5" thickBot="1" x14ac:dyDescent="0.25">
      <c r="A196" s="379" t="s">
        <v>117</v>
      </c>
      <c r="B196" s="374">
        <f t="shared" ref="B196:X196" si="68">(C195+B195)*(C194-B194)/2</f>
        <v>3.5</v>
      </c>
      <c r="C196" s="375">
        <f t="shared" si="68"/>
        <v>2.9999999999999996</v>
      </c>
      <c r="D196" s="375">
        <f t="shared" si="68"/>
        <v>4.6000000000000005</v>
      </c>
      <c r="E196" s="375">
        <f t="shared" si="68"/>
        <v>98.999999999999986</v>
      </c>
      <c r="F196" s="375">
        <f t="shared" si="68"/>
        <v>10.150000000000009</v>
      </c>
      <c r="G196" s="375">
        <f t="shared" si="68"/>
        <v>4.0499999999999883</v>
      </c>
      <c r="H196" s="375">
        <f t="shared" si="68"/>
        <v>9.7500000000000089</v>
      </c>
      <c r="I196" s="375">
        <f t="shared" si="68"/>
        <v>4.7499999999999991</v>
      </c>
      <c r="J196" s="375">
        <f t="shared" si="68"/>
        <v>2.2500000000000004</v>
      </c>
      <c r="K196" s="375">
        <f t="shared" si="68"/>
        <v>0</v>
      </c>
      <c r="L196" s="375">
        <f t="shared" si="68"/>
        <v>0</v>
      </c>
      <c r="M196" s="375">
        <f t="shared" si="68"/>
        <v>0</v>
      </c>
      <c r="N196" s="375">
        <f t="shared" si="68"/>
        <v>0</v>
      </c>
      <c r="O196" s="375">
        <f t="shared" si="68"/>
        <v>0</v>
      </c>
      <c r="P196" s="375">
        <f t="shared" si="68"/>
        <v>0</v>
      </c>
      <c r="Q196" s="375">
        <f t="shared" si="68"/>
        <v>0</v>
      </c>
      <c r="R196" s="375">
        <f t="shared" si="68"/>
        <v>0</v>
      </c>
      <c r="S196" s="375">
        <f t="shared" si="68"/>
        <v>0</v>
      </c>
      <c r="T196" s="375">
        <f t="shared" si="68"/>
        <v>0</v>
      </c>
      <c r="U196" s="375">
        <f t="shared" si="68"/>
        <v>0</v>
      </c>
      <c r="V196" s="375">
        <f t="shared" si="68"/>
        <v>0</v>
      </c>
      <c r="W196" s="375">
        <f t="shared" si="68"/>
        <v>0</v>
      </c>
      <c r="X196" s="375">
        <f t="shared" si="68"/>
        <v>0</v>
      </c>
      <c r="Y196" s="369"/>
    </row>
    <row r="197" spans="1:26" ht="13.5" thickBot="1" x14ac:dyDescent="0.25">
      <c r="A197" s="12" t="s">
        <v>546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549</v>
      </c>
      <c r="B198" s="359">
        <f>ROW(A198)</f>
        <v>198</v>
      </c>
      <c r="C198" s="363" t="s">
        <v>116</v>
      </c>
      <c r="D198" s="353">
        <f>SUM(B201:Y201)</f>
        <v>142.44</v>
      </c>
      <c r="E198" s="363" t="s">
        <v>115</v>
      </c>
      <c r="F198" s="354">
        <f>D198/g/J198</f>
        <v>192.06187401906058</v>
      </c>
      <c r="G198" s="363" t="s">
        <v>57</v>
      </c>
      <c r="H198" s="64">
        <v>0.15989999999999999</v>
      </c>
      <c r="I198" s="363" t="s">
        <v>270</v>
      </c>
      <c r="J198" s="355">
        <f>H198-L198</f>
        <v>7.5599999999999987E-2</v>
      </c>
      <c r="K198" s="363" t="s">
        <v>271</v>
      </c>
      <c r="L198" s="64">
        <v>8.43E-2</v>
      </c>
      <c r="M198" s="363" t="s">
        <v>58</v>
      </c>
      <c r="N198" s="65">
        <v>114</v>
      </c>
      <c r="O198" s="363" t="s">
        <v>60</v>
      </c>
      <c r="P198" s="65">
        <v>114</v>
      </c>
      <c r="Q198" s="363" t="s">
        <v>61</v>
      </c>
      <c r="R198" s="65">
        <v>228</v>
      </c>
      <c r="S198" s="363" t="s">
        <v>62</v>
      </c>
      <c r="T198" s="65">
        <v>24</v>
      </c>
      <c r="U198" s="363" t="s">
        <v>55</v>
      </c>
      <c r="V198" s="66" t="s">
        <v>401</v>
      </c>
      <c r="W198" s="463" t="s">
        <v>394</v>
      </c>
      <c r="X198" s="465">
        <v>0.97</v>
      </c>
      <c r="Y198" s="463" t="s">
        <v>393</v>
      </c>
      <c r="Z198" s="358"/>
    </row>
    <row r="199" spans="1:26" x14ac:dyDescent="0.2">
      <c r="A199" s="362" t="s">
        <v>33</v>
      </c>
      <c r="B199" s="370">
        <v>0</v>
      </c>
      <c r="C199" s="371">
        <v>0.02</v>
      </c>
      <c r="D199" s="371">
        <v>0.04</v>
      </c>
      <c r="E199" s="371">
        <v>0.62</v>
      </c>
      <c r="F199" s="371">
        <v>0.66</v>
      </c>
      <c r="G199" s="371">
        <v>0.68</v>
      </c>
      <c r="H199" s="371">
        <v>0.8</v>
      </c>
      <c r="I199" s="371">
        <v>0.84</v>
      </c>
      <c r="J199" s="371">
        <v>0.88</v>
      </c>
      <c r="K199" s="371">
        <v>0.92</v>
      </c>
      <c r="L199" s="371">
        <v>0.96</v>
      </c>
      <c r="M199" s="371">
        <v>1</v>
      </c>
      <c r="N199" s="371">
        <v>1.08</v>
      </c>
      <c r="O199" s="371">
        <v>2</v>
      </c>
      <c r="P199" s="371">
        <v>2</v>
      </c>
      <c r="Q199" s="371">
        <v>2</v>
      </c>
      <c r="R199" s="371">
        <v>2</v>
      </c>
      <c r="S199" s="371">
        <f t="shared" ref="S199:X200" si="69">R199</f>
        <v>2</v>
      </c>
      <c r="T199" s="371">
        <f t="shared" si="69"/>
        <v>2</v>
      </c>
      <c r="U199" s="371">
        <f t="shared" si="69"/>
        <v>2</v>
      </c>
      <c r="V199" s="371">
        <f t="shared" si="69"/>
        <v>2</v>
      </c>
      <c r="W199" s="371">
        <f t="shared" si="69"/>
        <v>2</v>
      </c>
      <c r="X199" s="371">
        <f t="shared" si="69"/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250</v>
      </c>
      <c r="D200" s="373">
        <v>210</v>
      </c>
      <c r="E200" s="373">
        <v>160</v>
      </c>
      <c r="F200" s="373">
        <v>150</v>
      </c>
      <c r="G200" s="373">
        <v>142</v>
      </c>
      <c r="H200" s="373">
        <v>62</v>
      </c>
      <c r="I200" s="373">
        <v>48</v>
      </c>
      <c r="J200" s="373">
        <v>34</v>
      </c>
      <c r="K200" s="373">
        <v>24</v>
      </c>
      <c r="L200" s="373">
        <v>15</v>
      </c>
      <c r="M200" s="373">
        <v>10</v>
      </c>
      <c r="N200" s="373">
        <v>0</v>
      </c>
      <c r="O200" s="373">
        <v>0</v>
      </c>
      <c r="P200" s="373">
        <v>0</v>
      </c>
      <c r="Q200" s="373">
        <v>0</v>
      </c>
      <c r="R200" s="373">
        <v>0</v>
      </c>
      <c r="S200" s="373">
        <f t="shared" si="69"/>
        <v>0</v>
      </c>
      <c r="T200" s="373">
        <f t="shared" si="69"/>
        <v>0</v>
      </c>
      <c r="U200" s="373">
        <f t="shared" si="69"/>
        <v>0</v>
      </c>
      <c r="V200" s="373">
        <f t="shared" si="69"/>
        <v>0</v>
      </c>
      <c r="W200" s="373">
        <f t="shared" si="69"/>
        <v>0</v>
      </c>
      <c r="X200" s="373">
        <f t="shared" si="69"/>
        <v>0</v>
      </c>
      <c r="Y200" s="382">
        <v>0</v>
      </c>
    </row>
    <row r="201" spans="1:26" ht="13.5" thickBot="1" x14ac:dyDescent="0.25">
      <c r="A201" s="379" t="s">
        <v>117</v>
      </c>
      <c r="B201" s="374">
        <f t="shared" ref="B201:X201" si="70">(C200+B200)*(C199-B199)/2</f>
        <v>2.5</v>
      </c>
      <c r="C201" s="375">
        <f t="shared" si="70"/>
        <v>4.6000000000000005</v>
      </c>
      <c r="D201" s="375">
        <f t="shared" si="70"/>
        <v>107.3</v>
      </c>
      <c r="E201" s="375">
        <f t="shared" si="70"/>
        <v>6.2000000000000055</v>
      </c>
      <c r="F201" s="375">
        <f t="shared" si="70"/>
        <v>2.9200000000000026</v>
      </c>
      <c r="G201" s="375">
        <f t="shared" si="70"/>
        <v>12.24</v>
      </c>
      <c r="H201" s="375">
        <f t="shared" si="70"/>
        <v>2.1999999999999957</v>
      </c>
      <c r="I201" s="375">
        <f t="shared" si="70"/>
        <v>1.6400000000000015</v>
      </c>
      <c r="J201" s="375">
        <f t="shared" si="70"/>
        <v>1.160000000000001</v>
      </c>
      <c r="K201" s="375">
        <f t="shared" si="70"/>
        <v>0.77999999999999847</v>
      </c>
      <c r="L201" s="375">
        <f t="shared" si="70"/>
        <v>0.50000000000000044</v>
      </c>
      <c r="M201" s="375">
        <f t="shared" si="70"/>
        <v>0.40000000000000036</v>
      </c>
      <c r="N201" s="375">
        <f t="shared" si="70"/>
        <v>0</v>
      </c>
      <c r="O201" s="375">
        <f t="shared" si="70"/>
        <v>0</v>
      </c>
      <c r="P201" s="375">
        <f t="shared" si="70"/>
        <v>0</v>
      </c>
      <c r="Q201" s="375">
        <f t="shared" si="70"/>
        <v>0</v>
      </c>
      <c r="R201" s="375">
        <f t="shared" si="70"/>
        <v>0</v>
      </c>
      <c r="S201" s="375">
        <f t="shared" si="70"/>
        <v>0</v>
      </c>
      <c r="T201" s="375">
        <f t="shared" si="70"/>
        <v>0</v>
      </c>
      <c r="U201" s="375">
        <f t="shared" si="70"/>
        <v>0</v>
      </c>
      <c r="V201" s="375">
        <f t="shared" si="70"/>
        <v>0</v>
      </c>
      <c r="W201" s="375">
        <f t="shared" si="70"/>
        <v>0</v>
      </c>
      <c r="X201" s="375">
        <f t="shared" si="70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538</v>
      </c>
      <c r="B203" s="359">
        <f>ROW(A203)</f>
        <v>203</v>
      </c>
      <c r="C203" s="363" t="s">
        <v>116</v>
      </c>
      <c r="D203" s="353">
        <f>SUM(B206:Y206)</f>
        <v>143.08845000000002</v>
      </c>
      <c r="E203" s="363" t="s">
        <v>115</v>
      </c>
      <c r="F203" s="354">
        <f>D203/g/J203</f>
        <v>168.23504721190514</v>
      </c>
      <c r="G203" s="363" t="s">
        <v>57</v>
      </c>
      <c r="H203" s="64">
        <v>0.17249999999999999</v>
      </c>
      <c r="I203" s="363" t="s">
        <v>270</v>
      </c>
      <c r="J203" s="355">
        <f>H203-L203</f>
        <v>8.6699999999999985E-2</v>
      </c>
      <c r="K203" s="363" t="s">
        <v>271</v>
      </c>
      <c r="L203" s="64">
        <v>8.5800000000000001E-2</v>
      </c>
      <c r="M203" s="363" t="s">
        <v>58</v>
      </c>
      <c r="N203" s="65">
        <v>114</v>
      </c>
      <c r="O203" s="363" t="s">
        <v>60</v>
      </c>
      <c r="P203" s="65">
        <v>114</v>
      </c>
      <c r="Q203" s="363" t="s">
        <v>61</v>
      </c>
      <c r="R203" s="65">
        <v>228</v>
      </c>
      <c r="S203" s="363" t="s">
        <v>62</v>
      </c>
      <c r="T203" s="65">
        <v>24</v>
      </c>
      <c r="U203" s="363" t="s">
        <v>55</v>
      </c>
      <c r="V203" s="66" t="s">
        <v>120</v>
      </c>
      <c r="W203" s="463" t="s">
        <v>394</v>
      </c>
      <c r="X203" s="465">
        <v>0.97</v>
      </c>
      <c r="Y203" s="463" t="s">
        <v>393</v>
      </c>
      <c r="Z203" s="358">
        <v>11</v>
      </c>
    </row>
    <row r="204" spans="1:26" x14ac:dyDescent="0.2">
      <c r="A204" s="362" t="s">
        <v>33</v>
      </c>
      <c r="B204" s="370">
        <v>0</v>
      </c>
      <c r="C204" s="371">
        <v>8.0000000000000002E-3</v>
      </c>
      <c r="D204" s="371">
        <v>1.2999999999999999E-2</v>
      </c>
      <c r="E204" s="371">
        <v>2.1999999999999999E-2</v>
      </c>
      <c r="F204" s="371">
        <v>3.5000000000000003E-2</v>
      </c>
      <c r="G204" s="371">
        <v>6.3E-2</v>
      </c>
      <c r="H204" s="371">
        <v>0.10299999999999999</v>
      </c>
      <c r="I204" s="371">
        <v>0.19600000000000001</v>
      </c>
      <c r="J204" s="371">
        <v>0.311</v>
      </c>
      <c r="K204" s="371">
        <v>0.47399999999999998</v>
      </c>
      <c r="L204" s="371">
        <v>0.56399999999999995</v>
      </c>
      <c r="M204" s="371">
        <v>0.76200000000000001</v>
      </c>
      <c r="N204" s="371">
        <v>0.85799999999999998</v>
      </c>
      <c r="O204" s="371">
        <v>0.92800000000000005</v>
      </c>
      <c r="P204" s="371">
        <v>1.038</v>
      </c>
      <c r="Q204" s="371">
        <v>1.08</v>
      </c>
      <c r="R204" s="371">
        <v>1.131</v>
      </c>
      <c r="S204" s="371">
        <v>1.1850000000000001</v>
      </c>
      <c r="T204" s="371">
        <v>1.224</v>
      </c>
      <c r="U204" s="371">
        <v>1.258</v>
      </c>
      <c r="V204" s="371">
        <v>1.4</v>
      </c>
      <c r="W204" s="371">
        <v>1.4410000000000001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168.643</v>
      </c>
      <c r="D205" s="373">
        <v>177.339</v>
      </c>
      <c r="E205" s="373">
        <v>177.86600000000001</v>
      </c>
      <c r="F205" s="373">
        <v>171.27799999999999</v>
      </c>
      <c r="G205" s="373">
        <v>157.839</v>
      </c>
      <c r="H205" s="373">
        <v>154.941</v>
      </c>
      <c r="I205" s="373">
        <v>148.88</v>
      </c>
      <c r="J205" s="373">
        <v>144.137</v>
      </c>
      <c r="K205" s="373">
        <v>138.07599999999999</v>
      </c>
      <c r="L205" s="373">
        <v>135.70500000000001</v>
      </c>
      <c r="M205" s="373">
        <v>125.955</v>
      </c>
      <c r="N205" s="373">
        <v>116.733</v>
      </c>
      <c r="O205" s="373">
        <v>101.71299999999999</v>
      </c>
      <c r="P205" s="373">
        <v>57.444000000000003</v>
      </c>
      <c r="Q205" s="373">
        <v>42.688000000000002</v>
      </c>
      <c r="R205" s="373">
        <v>31.884</v>
      </c>
      <c r="S205" s="373">
        <v>17.655000000000001</v>
      </c>
      <c r="T205" s="373">
        <v>9.4860000000000007</v>
      </c>
      <c r="U205" s="373">
        <v>5.27</v>
      </c>
      <c r="V205" s="373">
        <v>0.79100000000000004</v>
      </c>
      <c r="W205" s="373">
        <v>0</v>
      </c>
      <c r="X205" s="373">
        <f>W205</f>
        <v>0</v>
      </c>
      <c r="Y205" s="382">
        <v>0</v>
      </c>
    </row>
    <row r="206" spans="1:26" ht="13.5" thickBot="1" x14ac:dyDescent="0.25">
      <c r="A206" s="379" t="s">
        <v>117</v>
      </c>
      <c r="B206" s="374">
        <f t="shared" ref="B206:X206" si="71">(C205+B205)*(C204-B204)/2</f>
        <v>0.67457200000000006</v>
      </c>
      <c r="C206" s="375">
        <f t="shared" si="71"/>
        <v>0.86495499999999981</v>
      </c>
      <c r="D206" s="375">
        <f t="shared" si="71"/>
        <v>1.5984225000000001</v>
      </c>
      <c r="E206" s="375">
        <f t="shared" si="71"/>
        <v>2.2694360000000007</v>
      </c>
      <c r="F206" s="375">
        <f t="shared" si="71"/>
        <v>4.6076379999999988</v>
      </c>
      <c r="G206" s="375">
        <f t="shared" si="71"/>
        <v>6.2555999999999985</v>
      </c>
      <c r="H206" s="375">
        <f t="shared" si="71"/>
        <v>14.127676500000003</v>
      </c>
      <c r="I206" s="375">
        <f t="shared" si="71"/>
        <v>16.848477499999998</v>
      </c>
      <c r="J206" s="375">
        <f t="shared" si="71"/>
        <v>23.000359499999995</v>
      </c>
      <c r="K206" s="375">
        <f t="shared" si="71"/>
        <v>12.320144999999997</v>
      </c>
      <c r="L206" s="375">
        <f t="shared" si="71"/>
        <v>25.904340000000012</v>
      </c>
      <c r="M206" s="375">
        <f t="shared" si="71"/>
        <v>11.649023999999997</v>
      </c>
      <c r="N206" s="375">
        <f t="shared" si="71"/>
        <v>7.6456100000000067</v>
      </c>
      <c r="O206" s="375">
        <f t="shared" si="71"/>
        <v>8.7536349999999974</v>
      </c>
      <c r="P206" s="375">
        <f t="shared" si="71"/>
        <v>2.1027720000000021</v>
      </c>
      <c r="Q206" s="375">
        <f t="shared" si="71"/>
        <v>1.9015859999999976</v>
      </c>
      <c r="R206" s="375">
        <f t="shared" si="71"/>
        <v>1.3375530000000013</v>
      </c>
      <c r="S206" s="375">
        <f t="shared" si="71"/>
        <v>0.52924949999999904</v>
      </c>
      <c r="T206" s="375">
        <f t="shared" si="71"/>
        <v>0.25085200000000024</v>
      </c>
      <c r="U206" s="375">
        <f t="shared" si="71"/>
        <v>0.43033099999999969</v>
      </c>
      <c r="V206" s="375">
        <f t="shared" si="71"/>
        <v>1.621550000000006E-2</v>
      </c>
      <c r="W206" s="375">
        <f t="shared" si="71"/>
        <v>0</v>
      </c>
      <c r="X206" s="375">
        <f t="shared" si="71"/>
        <v>0</v>
      </c>
      <c r="Y206" s="369"/>
    </row>
    <row r="207" spans="1:26" ht="13.5" thickBo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537</v>
      </c>
      <c r="B208" s="359">
        <f>ROW(A208)</f>
        <v>208</v>
      </c>
      <c r="C208" s="363" t="s">
        <v>116</v>
      </c>
      <c r="D208" s="353">
        <f>SUM(B211:Y211)</f>
        <v>139.423417</v>
      </c>
      <c r="E208" s="363" t="s">
        <v>115</v>
      </c>
      <c r="F208" s="354">
        <f>D208/g/J208</f>
        <v>158.62027745922524</v>
      </c>
      <c r="G208" s="363" t="s">
        <v>57</v>
      </c>
      <c r="H208" s="64">
        <v>0.19450000000000001</v>
      </c>
      <c r="I208" s="363" t="s">
        <v>270</v>
      </c>
      <c r="J208" s="355">
        <f>H208-L208</f>
        <v>8.9600000000000013E-2</v>
      </c>
      <c r="K208" s="363" t="s">
        <v>271</v>
      </c>
      <c r="L208" s="64">
        <v>0.10489999999999999</v>
      </c>
      <c r="M208" s="363" t="s">
        <v>58</v>
      </c>
      <c r="N208" s="65">
        <v>114</v>
      </c>
      <c r="O208" s="363" t="s">
        <v>60</v>
      </c>
      <c r="P208" s="65">
        <v>144</v>
      </c>
      <c r="Q208" s="363" t="s">
        <v>61</v>
      </c>
      <c r="R208" s="65">
        <v>228</v>
      </c>
      <c r="S208" s="363" t="s">
        <v>62</v>
      </c>
      <c r="T208" s="65">
        <v>24</v>
      </c>
      <c r="U208" s="363" t="s">
        <v>55</v>
      </c>
      <c r="V208" s="66" t="s">
        <v>120</v>
      </c>
      <c r="W208" s="463" t="s">
        <v>394</v>
      </c>
      <c r="X208" s="465">
        <v>1.3</v>
      </c>
      <c r="Y208" s="463" t="s">
        <v>393</v>
      </c>
      <c r="Z208" s="358">
        <v>12</v>
      </c>
    </row>
    <row r="209" spans="1:26" x14ac:dyDescent="0.2">
      <c r="A209" s="362" t="s">
        <v>33</v>
      </c>
      <c r="B209" s="370">
        <v>0</v>
      </c>
      <c r="C209" s="371">
        <v>1.0999999999999999E-2</v>
      </c>
      <c r="D209" s="371">
        <v>2.1999999999999999E-2</v>
      </c>
      <c r="E209" s="371">
        <v>4.5999999999999999E-2</v>
      </c>
      <c r="F209" s="371">
        <v>8.1000000000000003E-2</v>
      </c>
      <c r="G209" s="371">
        <v>0.219</v>
      </c>
      <c r="H209" s="371">
        <v>0.253</v>
      </c>
      <c r="I209" s="371">
        <v>0.27400000000000002</v>
      </c>
      <c r="J209" s="371">
        <v>0.30499999999999999</v>
      </c>
      <c r="K209" s="371">
        <v>0.41199999999999998</v>
      </c>
      <c r="L209" s="371">
        <v>0.78900000000000003</v>
      </c>
      <c r="M209" s="371">
        <v>0.89900000000000002</v>
      </c>
      <c r="N209" s="371">
        <v>0.95299999999999996</v>
      </c>
      <c r="O209" s="371">
        <v>0.999</v>
      </c>
      <c r="P209" s="371">
        <v>1.03</v>
      </c>
      <c r="Q209" s="371">
        <v>1.0569999999999999</v>
      </c>
      <c r="R209" s="371">
        <v>1.1020000000000001</v>
      </c>
      <c r="S209" s="371">
        <v>1.1539999999999999</v>
      </c>
      <c r="T209" s="371">
        <v>1.1970000000000001</v>
      </c>
      <c r="U209" s="371">
        <v>1.2769999999999999</v>
      </c>
      <c r="V209" s="371">
        <v>1.335</v>
      </c>
      <c r="W209" s="371">
        <v>1.4510000000000001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198.41800000000001</v>
      </c>
      <c r="D210" s="373">
        <v>221.83500000000001</v>
      </c>
      <c r="E210" s="373">
        <v>212.65799999999999</v>
      </c>
      <c r="F210" s="373">
        <v>218.35400000000001</v>
      </c>
      <c r="G210" s="373">
        <v>204.43</v>
      </c>
      <c r="H210" s="373">
        <v>195.886</v>
      </c>
      <c r="I210" s="373">
        <v>183.54400000000001</v>
      </c>
      <c r="J210" s="373">
        <v>88.290999999999997</v>
      </c>
      <c r="K210" s="373">
        <v>93.671000000000006</v>
      </c>
      <c r="L210" s="373">
        <v>93.986999999999995</v>
      </c>
      <c r="M210" s="373">
        <v>91.138999999999996</v>
      </c>
      <c r="N210" s="373">
        <v>89.873000000000005</v>
      </c>
      <c r="O210" s="373">
        <v>87.025000000000006</v>
      </c>
      <c r="P210" s="373">
        <v>81.328999999999994</v>
      </c>
      <c r="Q210" s="373">
        <v>69.936999999999998</v>
      </c>
      <c r="R210" s="373">
        <v>54.113999999999997</v>
      </c>
      <c r="S210" s="373">
        <v>42.405000000000001</v>
      </c>
      <c r="T210" s="373">
        <v>31.646000000000001</v>
      </c>
      <c r="U210" s="373">
        <v>17.088999999999999</v>
      </c>
      <c r="V210" s="373">
        <v>9.81</v>
      </c>
      <c r="W210" s="373">
        <v>0</v>
      </c>
      <c r="X210" s="373">
        <v>0</v>
      </c>
      <c r="Y210" s="382">
        <v>0</v>
      </c>
    </row>
    <row r="211" spans="1:26" ht="13.5" thickBot="1" x14ac:dyDescent="0.25">
      <c r="A211" s="379" t="s">
        <v>117</v>
      </c>
      <c r="B211" s="374">
        <f t="shared" ref="B211:X211" si="72">(C210+B210)*(C209-B209)/2</f>
        <v>1.091299</v>
      </c>
      <c r="C211" s="375">
        <f t="shared" si="72"/>
        <v>2.3113915</v>
      </c>
      <c r="D211" s="375">
        <f t="shared" si="72"/>
        <v>5.2139160000000002</v>
      </c>
      <c r="E211" s="375">
        <f t="shared" si="72"/>
        <v>7.5427100000000005</v>
      </c>
      <c r="F211" s="375">
        <f t="shared" si="72"/>
        <v>29.172096000000003</v>
      </c>
      <c r="G211" s="375">
        <f t="shared" si="72"/>
        <v>6.8053720000000011</v>
      </c>
      <c r="H211" s="375">
        <f t="shared" si="72"/>
        <v>3.9840150000000034</v>
      </c>
      <c r="I211" s="375">
        <f t="shared" si="72"/>
        <v>4.2134424999999966</v>
      </c>
      <c r="J211" s="375">
        <f t="shared" si="72"/>
        <v>9.7349669999999975</v>
      </c>
      <c r="K211" s="375">
        <f t="shared" si="72"/>
        <v>35.373533000000009</v>
      </c>
      <c r="L211" s="375">
        <f t="shared" si="72"/>
        <v>10.181929999999998</v>
      </c>
      <c r="M211" s="375">
        <f t="shared" si="72"/>
        <v>4.8873239999999942</v>
      </c>
      <c r="N211" s="375">
        <f t="shared" si="72"/>
        <v>4.068654000000004</v>
      </c>
      <c r="O211" s="375">
        <f t="shared" si="72"/>
        <v>2.6094870000000019</v>
      </c>
      <c r="P211" s="375">
        <f t="shared" si="72"/>
        <v>2.0420909999999934</v>
      </c>
      <c r="Q211" s="375">
        <f t="shared" si="72"/>
        <v>2.791147500000009</v>
      </c>
      <c r="R211" s="375">
        <f t="shared" si="72"/>
        <v>2.5094939999999917</v>
      </c>
      <c r="S211" s="375">
        <f t="shared" si="72"/>
        <v>1.5920965000000056</v>
      </c>
      <c r="T211" s="375">
        <f t="shared" si="72"/>
        <v>1.9493999999999962</v>
      </c>
      <c r="U211" s="375">
        <f t="shared" si="72"/>
        <v>0.78007100000000074</v>
      </c>
      <c r="V211" s="375">
        <f t="shared" si="72"/>
        <v>0.56898000000000049</v>
      </c>
      <c r="W211" s="375">
        <f t="shared" si="72"/>
        <v>0</v>
      </c>
      <c r="X211" s="375">
        <f t="shared" si="72"/>
        <v>0</v>
      </c>
      <c r="Y211" s="369"/>
    </row>
    <row r="212" spans="1:26" ht="13.5" thickBot="1" x14ac:dyDescent="0.25">
      <c r="A212" s="6" t="s">
        <v>315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375</v>
      </c>
      <c r="B213" s="359">
        <f>ROW(A213)</f>
        <v>213</v>
      </c>
      <c r="C213" s="363" t="s">
        <v>116</v>
      </c>
      <c r="D213" s="353">
        <f>SUM(B216:Y216)</f>
        <v>82.798500000000018</v>
      </c>
      <c r="E213" s="363" t="s">
        <v>115</v>
      </c>
      <c r="F213" s="354">
        <f>D213/g/J213</f>
        <v>131.87834480122325</v>
      </c>
      <c r="G213" s="363" t="s">
        <v>57</v>
      </c>
      <c r="H213" s="64">
        <v>0.152</v>
      </c>
      <c r="I213" s="363" t="s">
        <v>270</v>
      </c>
      <c r="J213" s="355">
        <f>H213-L213</f>
        <v>6.4000000000000001E-2</v>
      </c>
      <c r="K213" s="363" t="s">
        <v>271</v>
      </c>
      <c r="L213" s="64">
        <v>8.7999999999999995E-2</v>
      </c>
      <c r="M213" s="363" t="s">
        <v>58</v>
      </c>
      <c r="N213" s="65">
        <v>71</v>
      </c>
      <c r="O213" s="363" t="s">
        <v>60</v>
      </c>
      <c r="P213" s="65">
        <v>71</v>
      </c>
      <c r="Q213" s="363" t="s">
        <v>61</v>
      </c>
      <c r="R213" s="65">
        <v>142</v>
      </c>
      <c r="S213" s="363" t="s">
        <v>62</v>
      </c>
      <c r="T213" s="65">
        <v>29</v>
      </c>
      <c r="U213" s="363" t="s">
        <v>55</v>
      </c>
      <c r="V213" s="66" t="s">
        <v>120</v>
      </c>
      <c r="W213" s="463" t="s">
        <v>394</v>
      </c>
      <c r="X213" s="465">
        <v>0.96</v>
      </c>
      <c r="Y213" s="463" t="s">
        <v>393</v>
      </c>
      <c r="Z213" s="358">
        <v>11</v>
      </c>
    </row>
    <row r="214" spans="1:26" x14ac:dyDescent="0.2">
      <c r="A214" s="362" t="s">
        <v>33</v>
      </c>
      <c r="B214" s="370">
        <v>0</v>
      </c>
      <c r="C214" s="371">
        <v>0.02</v>
      </c>
      <c r="D214" s="371">
        <v>0.03</v>
      </c>
      <c r="E214" s="371">
        <v>0.04</v>
      </c>
      <c r="F214" s="371">
        <v>0.06</v>
      </c>
      <c r="G214" s="371">
        <v>0.08</v>
      </c>
      <c r="H214" s="371">
        <v>0.15</v>
      </c>
      <c r="I214" s="371">
        <v>0.18</v>
      </c>
      <c r="J214" s="371">
        <v>0.2</v>
      </c>
      <c r="K214" s="371">
        <v>0.3</v>
      </c>
      <c r="L214" s="371">
        <v>0.4</v>
      </c>
      <c r="M214" s="371">
        <v>0.5</v>
      </c>
      <c r="N214" s="371">
        <v>0.6</v>
      </c>
      <c r="O214" s="371">
        <v>0.7</v>
      </c>
      <c r="P214" s="371">
        <v>0.82</v>
      </c>
      <c r="Q214" s="371">
        <v>0.93</v>
      </c>
      <c r="R214" s="371">
        <v>1</v>
      </c>
      <c r="S214" s="371">
        <f t="shared" ref="S214:X215" si="73">R214</f>
        <v>1</v>
      </c>
      <c r="T214" s="371">
        <f t="shared" si="73"/>
        <v>1</v>
      </c>
      <c r="U214" s="371">
        <f t="shared" si="73"/>
        <v>1</v>
      </c>
      <c r="V214" s="371">
        <f t="shared" si="73"/>
        <v>1</v>
      </c>
      <c r="W214" s="371">
        <f t="shared" si="73"/>
        <v>1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3">
        <v>41.9</v>
      </c>
      <c r="D215" s="373">
        <v>92.1</v>
      </c>
      <c r="E215" s="373">
        <v>116.7</v>
      </c>
      <c r="F215" s="373">
        <v>112.7</v>
      </c>
      <c r="G215" s="373">
        <v>82.7</v>
      </c>
      <c r="H215" s="373">
        <v>84.7</v>
      </c>
      <c r="I215" s="373">
        <v>86.2</v>
      </c>
      <c r="J215" s="373">
        <v>87.9</v>
      </c>
      <c r="K215" s="373">
        <v>90.9</v>
      </c>
      <c r="L215" s="373">
        <v>93.9</v>
      </c>
      <c r="M215" s="373">
        <v>95.3</v>
      </c>
      <c r="N215" s="373">
        <v>96.8</v>
      </c>
      <c r="O215" s="373">
        <v>97.6</v>
      </c>
      <c r="P215" s="373">
        <v>108.2</v>
      </c>
      <c r="Q215" s="373">
        <v>11</v>
      </c>
      <c r="R215" s="373">
        <v>0</v>
      </c>
      <c r="S215" s="373">
        <f t="shared" si="73"/>
        <v>0</v>
      </c>
      <c r="T215" s="373">
        <f t="shared" si="73"/>
        <v>0</v>
      </c>
      <c r="U215" s="373">
        <f t="shared" si="73"/>
        <v>0</v>
      </c>
      <c r="V215" s="373">
        <f t="shared" si="73"/>
        <v>0</v>
      </c>
      <c r="W215" s="373">
        <f t="shared" si="73"/>
        <v>0</v>
      </c>
      <c r="X215" s="373">
        <f t="shared" si="73"/>
        <v>0</v>
      </c>
      <c r="Y215" s="382">
        <v>0</v>
      </c>
    </row>
    <row r="216" spans="1:26" ht="13.5" thickBot="1" x14ac:dyDescent="0.25">
      <c r="A216" s="379" t="s">
        <v>117</v>
      </c>
      <c r="B216" s="374">
        <f t="shared" ref="B216:V216" si="74">(C215+B215)*(C214-B214)/2</f>
        <v>0.41899999999999998</v>
      </c>
      <c r="C216" s="375">
        <f t="shared" si="74"/>
        <v>0.66999999999999993</v>
      </c>
      <c r="D216" s="375">
        <f t="shared" si="74"/>
        <v>1.0440000000000003</v>
      </c>
      <c r="E216" s="375">
        <f t="shared" si="74"/>
        <v>2.2939999999999996</v>
      </c>
      <c r="F216" s="375">
        <f t="shared" si="74"/>
        <v>1.9540000000000004</v>
      </c>
      <c r="G216" s="375">
        <f t="shared" si="74"/>
        <v>5.859</v>
      </c>
      <c r="H216" s="375">
        <f t="shared" si="74"/>
        <v>2.5634999999999999</v>
      </c>
      <c r="I216" s="375">
        <f t="shared" si="74"/>
        <v>1.7410000000000019</v>
      </c>
      <c r="J216" s="375">
        <f>(K215+J215)*(K214-J214)/2</f>
        <v>8.9399999999999977</v>
      </c>
      <c r="K216" s="375">
        <f t="shared" si="74"/>
        <v>9.2400000000000038</v>
      </c>
      <c r="L216" s="375">
        <f t="shared" si="74"/>
        <v>9.4599999999999973</v>
      </c>
      <c r="M216" s="375">
        <f t="shared" si="74"/>
        <v>9.6049999999999969</v>
      </c>
      <c r="N216" s="375">
        <f t="shared" si="74"/>
        <v>9.7199999999999971</v>
      </c>
      <c r="O216" s="375">
        <f t="shared" si="74"/>
        <v>12.348000000000001</v>
      </c>
      <c r="P216" s="375">
        <f t="shared" si="74"/>
        <v>6.5560000000000063</v>
      </c>
      <c r="Q216" s="375">
        <f t="shared" si="74"/>
        <v>0.38499999999999973</v>
      </c>
      <c r="R216" s="375">
        <f t="shared" si="74"/>
        <v>0</v>
      </c>
      <c r="S216" s="375">
        <f>(T215+S215)*(T214-S214)/2</f>
        <v>0</v>
      </c>
      <c r="T216" s="375">
        <f t="shared" si="74"/>
        <v>0</v>
      </c>
      <c r="U216" s="375">
        <f t="shared" si="74"/>
        <v>0</v>
      </c>
      <c r="V216" s="375">
        <f t="shared" si="74"/>
        <v>0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376</v>
      </c>
      <c r="B218" s="359">
        <f>ROW(A218)</f>
        <v>218</v>
      </c>
      <c r="C218" s="363" t="s">
        <v>116</v>
      </c>
      <c r="D218" s="353">
        <f>SUM(B221:Y221)</f>
        <v>98.257101163036367</v>
      </c>
      <c r="E218" s="363" t="s">
        <v>115</v>
      </c>
      <c r="F218" s="354">
        <f>D218/g/J218</f>
        <v>177.58890761893778</v>
      </c>
      <c r="G218" s="363" t="s">
        <v>57</v>
      </c>
      <c r="H218" s="64">
        <v>0.14319999999999999</v>
      </c>
      <c r="I218" s="363" t="s">
        <v>270</v>
      </c>
      <c r="J218" s="355">
        <f>H218-L218</f>
        <v>5.6399999999999992E-2</v>
      </c>
      <c r="K218" s="363" t="s">
        <v>271</v>
      </c>
      <c r="L218" s="64">
        <v>8.6800000000000002E-2</v>
      </c>
      <c r="M218" s="363" t="s">
        <v>58</v>
      </c>
      <c r="N218" s="65">
        <v>71</v>
      </c>
      <c r="O218" s="363" t="s">
        <v>60</v>
      </c>
      <c r="P218" s="65">
        <v>71</v>
      </c>
      <c r="Q218" s="363" t="s">
        <v>61</v>
      </c>
      <c r="R218" s="65">
        <v>142</v>
      </c>
      <c r="S218" s="363" t="s">
        <v>62</v>
      </c>
      <c r="T218" s="65">
        <v>29</v>
      </c>
      <c r="U218" s="363" t="s">
        <v>55</v>
      </c>
      <c r="V218" s="66" t="s">
        <v>120</v>
      </c>
      <c r="W218" s="463" t="s">
        <v>394</v>
      </c>
      <c r="X218" s="465">
        <v>1.1499999999999999</v>
      </c>
      <c r="Y218" s="463" t="s">
        <v>393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1.4999999999999999E-2</v>
      </c>
      <c r="D219" s="371">
        <v>0.03</v>
      </c>
      <c r="E219" s="371">
        <v>4.4999999999999998E-2</v>
      </c>
      <c r="F219" s="371">
        <v>0.06</v>
      </c>
      <c r="G219" s="371">
        <v>7.4999999999999997E-2</v>
      </c>
      <c r="H219" s="371">
        <v>0.09</v>
      </c>
      <c r="I219" s="371">
        <v>0.105</v>
      </c>
      <c r="J219" s="371">
        <v>0.12</v>
      </c>
      <c r="K219" s="371">
        <v>0.18</v>
      </c>
      <c r="L219" s="371">
        <v>0.24</v>
      </c>
      <c r="M219" s="371">
        <v>0.3</v>
      </c>
      <c r="N219" s="371">
        <v>0.48</v>
      </c>
      <c r="O219" s="371">
        <v>0.6</v>
      </c>
      <c r="P219" s="371">
        <v>0.66</v>
      </c>
      <c r="Q219" s="371">
        <v>0.72</v>
      </c>
      <c r="R219" s="371">
        <v>0.78</v>
      </c>
      <c r="S219" s="371">
        <v>0.84</v>
      </c>
      <c r="T219" s="371">
        <v>0.9</v>
      </c>
      <c r="U219" s="371">
        <v>0.96</v>
      </c>
      <c r="V219" s="371">
        <v>1.0349999999999999</v>
      </c>
      <c r="W219" s="371">
        <v>1.2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6">
        <v>99.328788958822486</v>
      </c>
      <c r="D220" s="376">
        <v>109.07039432469</v>
      </c>
      <c r="E220" s="376">
        <v>65.255411286427503</v>
      </c>
      <c r="F220" s="376">
        <v>67.568486533117493</v>
      </c>
      <c r="G220" s="376">
        <v>73.929443461515007</v>
      </c>
      <c r="H220" s="376">
        <v>74.329783408057494</v>
      </c>
      <c r="I220" s="376">
        <v>78.1552540083525</v>
      </c>
      <c r="J220" s="376">
        <v>78.600076171177506</v>
      </c>
      <c r="K220" s="376">
        <v>82.203135690059995</v>
      </c>
      <c r="L220" s="376">
        <v>84.516210936749999</v>
      </c>
      <c r="M220" s="376">
        <v>88.51961040217499</v>
      </c>
      <c r="N220" s="376">
        <v>95.102978411984992</v>
      </c>
      <c r="O220" s="376">
        <v>95.547800574809997</v>
      </c>
      <c r="P220" s="376">
        <v>94.480227384029988</v>
      </c>
      <c r="Q220" s="376">
        <v>92.122669921057494</v>
      </c>
      <c r="R220" s="376">
        <v>90.743721216299988</v>
      </c>
      <c r="S220" s="376">
        <v>88.964432564999996</v>
      </c>
      <c r="T220" s="376">
        <v>85.405855262399996</v>
      </c>
      <c r="U220" s="376">
        <v>83.448637745970004</v>
      </c>
      <c r="V220" s="376">
        <v>88.074788239349999</v>
      </c>
      <c r="W220" s="376">
        <v>0</v>
      </c>
      <c r="X220" s="373">
        <v>0</v>
      </c>
      <c r="Y220" s="382">
        <v>0</v>
      </c>
    </row>
    <row r="221" spans="1:26" ht="13.5" thickBot="1" x14ac:dyDescent="0.25">
      <c r="A221" s="379" t="s">
        <v>117</v>
      </c>
      <c r="B221" s="374">
        <f t="shared" ref="B221:V221" si="75">(C220+B220)*(C219-B219)/2</f>
        <v>0.74496591719116867</v>
      </c>
      <c r="C221" s="375">
        <f t="shared" si="75"/>
        <v>1.5629938746263436</v>
      </c>
      <c r="D221" s="375">
        <f t="shared" si="75"/>
        <v>1.3074435420833814</v>
      </c>
      <c r="E221" s="375">
        <f t="shared" si="75"/>
        <v>0.99617923364658734</v>
      </c>
      <c r="F221" s="375">
        <f t="shared" si="75"/>
        <v>1.0612344749597438</v>
      </c>
      <c r="G221" s="375">
        <f t="shared" si="75"/>
        <v>1.1119442015217937</v>
      </c>
      <c r="H221" s="375">
        <f t="shared" si="75"/>
        <v>1.1436377806230749</v>
      </c>
      <c r="I221" s="375">
        <f t="shared" si="75"/>
        <v>1.175664976346475</v>
      </c>
      <c r="J221" s="375">
        <f>(K220+J220)*(K219-J219)/2</f>
        <v>4.824096355837125</v>
      </c>
      <c r="K221" s="375">
        <f t="shared" si="75"/>
        <v>5.0015803988042995</v>
      </c>
      <c r="L221" s="375">
        <f t="shared" si="75"/>
        <v>5.1910746401677494</v>
      </c>
      <c r="M221" s="375">
        <f t="shared" si="75"/>
        <v>16.526032993274399</v>
      </c>
      <c r="N221" s="375">
        <f t="shared" si="75"/>
        <v>11.439046739207699</v>
      </c>
      <c r="O221" s="375">
        <f t="shared" si="75"/>
        <v>5.7008408387652043</v>
      </c>
      <c r="P221" s="375">
        <f t="shared" si="75"/>
        <v>5.5980869191526192</v>
      </c>
      <c r="Q221" s="375">
        <f t="shared" si="75"/>
        <v>5.4859917341207289</v>
      </c>
      <c r="R221" s="375">
        <f t="shared" si="75"/>
        <v>5.3912446134389942</v>
      </c>
      <c r="S221" s="375">
        <f>(T220+S220)*(T219-S219)/2</f>
        <v>5.2311086348220037</v>
      </c>
      <c r="T221" s="375">
        <f t="shared" si="75"/>
        <v>5.0656347902510959</v>
      </c>
      <c r="U221" s="375">
        <f t="shared" si="75"/>
        <v>6.4321284744494962</v>
      </c>
      <c r="V221" s="375">
        <f t="shared" si="75"/>
        <v>7.2661700297463767</v>
      </c>
      <c r="W221" s="375">
        <f>(X220+W220)*(X219-W219)/2</f>
        <v>0</v>
      </c>
      <c r="X221" s="375">
        <f>(Y220+X220)*(Y219-X219)/2</f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377</v>
      </c>
      <c r="B223" s="359">
        <f>ROW(A223)</f>
        <v>223</v>
      </c>
      <c r="C223" s="363" t="s">
        <v>116</v>
      </c>
      <c r="D223" s="353">
        <f>SUM(B226:Y226)</f>
        <v>109.60639850000001</v>
      </c>
      <c r="E223" s="363" t="s">
        <v>115</v>
      </c>
      <c r="F223" s="354">
        <f>D223/g/J223</f>
        <v>194.31174666489383</v>
      </c>
      <c r="G223" s="363" t="s">
        <v>57</v>
      </c>
      <c r="H223" s="64">
        <v>0.14130000000000001</v>
      </c>
      <c r="I223" s="363" t="s">
        <v>270</v>
      </c>
      <c r="J223" s="355">
        <f>H223-L223</f>
        <v>5.7500000000000009E-2</v>
      </c>
      <c r="K223" s="363" t="s">
        <v>271</v>
      </c>
      <c r="L223" s="64">
        <v>8.3799999999999999E-2</v>
      </c>
      <c r="M223" s="363" t="s">
        <v>58</v>
      </c>
      <c r="N223" s="65">
        <v>71</v>
      </c>
      <c r="O223" s="363" t="s">
        <v>60</v>
      </c>
      <c r="P223" s="65">
        <v>71</v>
      </c>
      <c r="Q223" s="363" t="s">
        <v>61</v>
      </c>
      <c r="R223" s="65">
        <v>142</v>
      </c>
      <c r="S223" s="363" t="s">
        <v>62</v>
      </c>
      <c r="T223" s="65">
        <v>29</v>
      </c>
      <c r="U223" s="363" t="s">
        <v>55</v>
      </c>
      <c r="V223" s="66" t="s">
        <v>401</v>
      </c>
      <c r="W223" s="463" t="s">
        <v>394</v>
      </c>
      <c r="X223" s="465">
        <v>0.45</v>
      </c>
      <c r="Y223" s="463" t="s">
        <v>393</v>
      </c>
      <c r="Z223" s="358">
        <v>14</v>
      </c>
    </row>
    <row r="224" spans="1:26" x14ac:dyDescent="0.2">
      <c r="A224" s="362" t="s">
        <v>33</v>
      </c>
      <c r="B224" s="370">
        <v>0</v>
      </c>
      <c r="C224" s="371">
        <v>6.0000000000000001E-3</v>
      </c>
      <c r="D224" s="371">
        <v>1.0999999999999999E-2</v>
      </c>
      <c r="E224" s="371">
        <v>1.6E-2</v>
      </c>
      <c r="F224" s="371">
        <v>3.1E-2</v>
      </c>
      <c r="G224" s="371">
        <v>7.4999999999999997E-2</v>
      </c>
      <c r="H224" s="371">
        <v>0.122</v>
      </c>
      <c r="I224" s="371">
        <v>0.216</v>
      </c>
      <c r="J224" s="371">
        <v>0.25</v>
      </c>
      <c r="K224" s="371">
        <v>0.28699999999999998</v>
      </c>
      <c r="L224" s="371">
        <v>0.35399999999999998</v>
      </c>
      <c r="M224" s="371">
        <v>0.374</v>
      </c>
      <c r="N224" s="371">
        <v>0.4</v>
      </c>
      <c r="O224" s="371">
        <v>0.41299999999999998</v>
      </c>
      <c r="P224" s="371">
        <v>0.42</v>
      </c>
      <c r="Q224" s="371">
        <v>0.433</v>
      </c>
      <c r="R224" s="371">
        <v>0.44500000000000001</v>
      </c>
      <c r="S224" s="371">
        <v>0.45400000000000001</v>
      </c>
      <c r="T224" s="371">
        <f t="shared" ref="T224:X225" si="76">S224</f>
        <v>0.45400000000000001</v>
      </c>
      <c r="U224" s="371">
        <f t="shared" si="76"/>
        <v>0.45400000000000001</v>
      </c>
      <c r="V224" s="371">
        <f t="shared" si="76"/>
        <v>0.45400000000000001</v>
      </c>
      <c r="W224" s="371">
        <f t="shared" si="76"/>
        <v>0.45400000000000001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3">
        <v>151.62100000000001</v>
      </c>
      <c r="D225" s="373">
        <v>198.07900000000001</v>
      </c>
      <c r="E225" s="373">
        <v>203.12100000000001</v>
      </c>
      <c r="F225" s="373">
        <v>201.68100000000001</v>
      </c>
      <c r="G225" s="373">
        <v>226.17</v>
      </c>
      <c r="H225" s="373">
        <v>250.3</v>
      </c>
      <c r="I225" s="373">
        <v>280.19200000000001</v>
      </c>
      <c r="J225" s="373">
        <v>287.03500000000003</v>
      </c>
      <c r="K225" s="373">
        <v>284.87400000000002</v>
      </c>
      <c r="L225" s="373">
        <v>269.74799999999999</v>
      </c>
      <c r="M225" s="373">
        <v>258.58300000000003</v>
      </c>
      <c r="N225" s="373">
        <v>233.37299999999999</v>
      </c>
      <c r="O225" s="373">
        <v>234.09399999999999</v>
      </c>
      <c r="P225" s="373">
        <v>227.61099999999999</v>
      </c>
      <c r="Q225" s="373">
        <v>137.935</v>
      </c>
      <c r="R225" s="373">
        <v>33.853999999999999</v>
      </c>
      <c r="S225" s="373">
        <v>0</v>
      </c>
      <c r="T225" s="373">
        <f t="shared" si="76"/>
        <v>0</v>
      </c>
      <c r="U225" s="373">
        <f t="shared" si="76"/>
        <v>0</v>
      </c>
      <c r="V225" s="373">
        <f t="shared" si="76"/>
        <v>0</v>
      </c>
      <c r="W225" s="373">
        <f t="shared" si="76"/>
        <v>0</v>
      </c>
      <c r="X225" s="373">
        <f t="shared" si="76"/>
        <v>0</v>
      </c>
      <c r="Y225" s="382">
        <v>0</v>
      </c>
    </row>
    <row r="226" spans="1:26" ht="13.5" thickBot="1" x14ac:dyDescent="0.25">
      <c r="A226" s="379" t="s">
        <v>117</v>
      </c>
      <c r="B226" s="374">
        <f t="shared" ref="B226:X226" si="77">(C225+B225)*(C224-B224)/2</f>
        <v>0.45486300000000002</v>
      </c>
      <c r="C226" s="375">
        <f t="shared" si="77"/>
        <v>0.87424999999999997</v>
      </c>
      <c r="D226" s="375">
        <f t="shared" si="77"/>
        <v>1.0030000000000003</v>
      </c>
      <c r="E226" s="375">
        <f t="shared" si="77"/>
        <v>3.0360149999999999</v>
      </c>
      <c r="F226" s="375">
        <f t="shared" si="77"/>
        <v>9.4127219999999987</v>
      </c>
      <c r="G226" s="375">
        <f t="shared" si="77"/>
        <v>11.197045000000001</v>
      </c>
      <c r="H226" s="375">
        <f t="shared" si="77"/>
        <v>24.933123999999999</v>
      </c>
      <c r="I226" s="375">
        <f t="shared" si="77"/>
        <v>9.6428590000000014</v>
      </c>
      <c r="J226" s="375">
        <f t="shared" si="77"/>
        <v>10.580316499999995</v>
      </c>
      <c r="K226" s="375">
        <f t="shared" si="77"/>
        <v>18.579837000000005</v>
      </c>
      <c r="L226" s="375">
        <f t="shared" si="77"/>
        <v>5.2833100000000046</v>
      </c>
      <c r="M226" s="375">
        <f t="shared" si="77"/>
        <v>6.3954280000000061</v>
      </c>
      <c r="N226" s="375">
        <f t="shared" si="77"/>
        <v>3.0385354999999898</v>
      </c>
      <c r="O226" s="375">
        <f t="shared" si="77"/>
        <v>1.6159675000000013</v>
      </c>
      <c r="P226" s="375">
        <f t="shared" si="77"/>
        <v>2.3760490000000019</v>
      </c>
      <c r="Q226" s="375">
        <f t="shared" si="77"/>
        <v>1.0307340000000009</v>
      </c>
      <c r="R226" s="375">
        <f t="shared" si="77"/>
        <v>0.15234300000000014</v>
      </c>
      <c r="S226" s="375">
        <f t="shared" si="77"/>
        <v>0</v>
      </c>
      <c r="T226" s="375">
        <f t="shared" si="77"/>
        <v>0</v>
      </c>
      <c r="U226" s="375">
        <f t="shared" si="77"/>
        <v>0</v>
      </c>
      <c r="V226" s="375">
        <f t="shared" si="77"/>
        <v>0</v>
      </c>
      <c r="W226" s="375">
        <f t="shared" si="77"/>
        <v>0</v>
      </c>
      <c r="X226" s="375">
        <f t="shared" si="77"/>
        <v>0</v>
      </c>
      <c r="Y226" s="369"/>
    </row>
    <row r="227" spans="1:26" ht="13.5" thickBo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378</v>
      </c>
      <c r="B228" s="359">
        <f>ROW(A228)</f>
        <v>228</v>
      </c>
      <c r="C228" s="363" t="s">
        <v>116</v>
      </c>
      <c r="D228" s="353">
        <f>SUM(B231:Y231)</f>
        <v>115.63</v>
      </c>
      <c r="E228" s="363" t="s">
        <v>115</v>
      </c>
      <c r="F228" s="354">
        <f>D228/g/J228</f>
        <v>199.77884897804037</v>
      </c>
      <c r="G228" s="363" t="s">
        <v>57</v>
      </c>
      <c r="H228" s="64">
        <v>0.14499999999999999</v>
      </c>
      <c r="I228" s="363" t="s">
        <v>270</v>
      </c>
      <c r="J228" s="355">
        <f>H228-L228</f>
        <v>5.8999999999999997E-2</v>
      </c>
      <c r="K228" s="363" t="s">
        <v>271</v>
      </c>
      <c r="L228" s="64">
        <v>8.5999999999999993E-2</v>
      </c>
      <c r="M228" s="363" t="s">
        <v>58</v>
      </c>
      <c r="N228" s="65">
        <v>71</v>
      </c>
      <c r="O228" s="363" t="s">
        <v>60</v>
      </c>
      <c r="P228" s="65">
        <v>71</v>
      </c>
      <c r="Q228" s="363" t="s">
        <v>61</v>
      </c>
      <c r="R228" s="65">
        <v>142</v>
      </c>
      <c r="S228" s="363" t="s">
        <v>62</v>
      </c>
      <c r="T228" s="65">
        <v>29</v>
      </c>
      <c r="U228" s="363" t="s">
        <v>55</v>
      </c>
      <c r="V228" s="66" t="s">
        <v>400</v>
      </c>
      <c r="W228" s="463" t="s">
        <v>394</v>
      </c>
      <c r="X228" s="465">
        <v>0.93</v>
      </c>
      <c r="Y228" s="463" t="s">
        <v>393</v>
      </c>
      <c r="Z228" s="358">
        <v>13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v>1</v>
      </c>
      <c r="T229" s="371">
        <v>1</v>
      </c>
      <c r="U229" s="371">
        <v>1</v>
      </c>
      <c r="V229" s="371">
        <v>1</v>
      </c>
      <c r="W229" s="371"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6">
        <v>55</v>
      </c>
      <c r="D230" s="376">
        <v>168</v>
      </c>
      <c r="E230" s="376">
        <v>157</v>
      </c>
      <c r="F230" s="376">
        <v>148</v>
      </c>
      <c r="G230" s="376">
        <v>125</v>
      </c>
      <c r="H230" s="376">
        <v>135</v>
      </c>
      <c r="I230" s="376">
        <v>141</v>
      </c>
      <c r="J230" s="376">
        <v>142</v>
      </c>
      <c r="K230" s="376">
        <v>141</v>
      </c>
      <c r="L230" s="376">
        <v>133</v>
      </c>
      <c r="M230" s="376">
        <v>127</v>
      </c>
      <c r="N230" s="376">
        <v>128</v>
      </c>
      <c r="O230" s="376">
        <v>60</v>
      </c>
      <c r="P230" s="376">
        <v>15</v>
      </c>
      <c r="Q230" s="376">
        <v>0</v>
      </c>
      <c r="R230" s="376">
        <v>0</v>
      </c>
      <c r="S230" s="376">
        <v>0</v>
      </c>
      <c r="T230" s="376">
        <v>0</v>
      </c>
      <c r="U230" s="376">
        <v>0</v>
      </c>
      <c r="V230" s="376">
        <v>0</v>
      </c>
      <c r="W230" s="376">
        <v>0</v>
      </c>
      <c r="X230" s="373">
        <v>0</v>
      </c>
      <c r="Y230" s="382">
        <v>0</v>
      </c>
    </row>
    <row r="231" spans="1:26" ht="13.5" thickBot="1" x14ac:dyDescent="0.25">
      <c r="A231" s="379" t="s">
        <v>117</v>
      </c>
      <c r="B231" s="374">
        <f t="shared" ref="B231:X231" si="78">(C230+B230)*(C229-B229)/2</f>
        <v>0.27500000000000002</v>
      </c>
      <c r="C231" s="375">
        <f t="shared" si="78"/>
        <v>1.115</v>
      </c>
      <c r="D231" s="375">
        <f t="shared" si="78"/>
        <v>1.6249999999999998</v>
      </c>
      <c r="E231" s="375">
        <f t="shared" si="78"/>
        <v>1.5250000000000004</v>
      </c>
      <c r="F231" s="375">
        <f t="shared" si="78"/>
        <v>1.3650000000000002</v>
      </c>
      <c r="G231" s="375">
        <f t="shared" si="78"/>
        <v>6.5</v>
      </c>
      <c r="H231" s="375">
        <f t="shared" si="78"/>
        <v>13.8</v>
      </c>
      <c r="I231" s="375">
        <f t="shared" si="78"/>
        <v>14.149999999999997</v>
      </c>
      <c r="J231" s="375">
        <f t="shared" si="78"/>
        <v>14.150000000000004</v>
      </c>
      <c r="K231" s="375">
        <f t="shared" si="78"/>
        <v>27.399999999999995</v>
      </c>
      <c r="L231" s="375">
        <f t="shared" si="78"/>
        <v>19.500000000000004</v>
      </c>
      <c r="M231" s="375">
        <f t="shared" si="78"/>
        <v>7.6500000000000066</v>
      </c>
      <c r="N231" s="375">
        <f t="shared" si="78"/>
        <v>4.699999999999994</v>
      </c>
      <c r="O231" s="375">
        <f t="shared" si="78"/>
        <v>1.5000000000000013</v>
      </c>
      <c r="P231" s="375">
        <f t="shared" si="78"/>
        <v>0.3749999999999995</v>
      </c>
      <c r="Q231" s="375">
        <f t="shared" si="78"/>
        <v>0</v>
      </c>
      <c r="R231" s="375">
        <f t="shared" si="78"/>
        <v>0</v>
      </c>
      <c r="S231" s="375">
        <f t="shared" si="78"/>
        <v>0</v>
      </c>
      <c r="T231" s="375">
        <f t="shared" si="78"/>
        <v>0</v>
      </c>
      <c r="U231" s="375">
        <f t="shared" si="78"/>
        <v>0</v>
      </c>
      <c r="V231" s="375">
        <f t="shared" si="78"/>
        <v>0</v>
      </c>
      <c r="W231" s="375">
        <f t="shared" si="78"/>
        <v>0</v>
      </c>
      <c r="X231" s="375">
        <f t="shared" si="78"/>
        <v>0</v>
      </c>
      <c r="Y231" s="369"/>
    </row>
    <row r="232" spans="1:26" ht="13.5" thickBot="1" x14ac:dyDescent="0.25">
      <c r="A232" s="6" t="s">
        <v>386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387</v>
      </c>
      <c r="B233" s="359">
        <f>ROW(A233)</f>
        <v>233</v>
      </c>
      <c r="C233" s="363" t="s">
        <v>116</v>
      </c>
      <c r="D233" s="353">
        <f>SUM(B236:Y236)</f>
        <v>115.63</v>
      </c>
      <c r="E233" s="363" t="s">
        <v>115</v>
      </c>
      <c r="F233" s="354">
        <f>D233/g/J233</f>
        <v>125.39310733728064</v>
      </c>
      <c r="G233" s="363" t="s">
        <v>57</v>
      </c>
      <c r="H233" s="64">
        <v>0.2</v>
      </c>
      <c r="I233" s="363" t="s">
        <v>270</v>
      </c>
      <c r="J233" s="355">
        <f>H233-L233</f>
        <v>9.4000000000000014E-2</v>
      </c>
      <c r="K233" s="363" t="s">
        <v>271</v>
      </c>
      <c r="L233" s="64">
        <v>0.106</v>
      </c>
      <c r="M233" s="363" t="s">
        <v>58</v>
      </c>
      <c r="N233" s="65">
        <v>93</v>
      </c>
      <c r="O233" s="363" t="s">
        <v>60</v>
      </c>
      <c r="P233" s="65">
        <v>93</v>
      </c>
      <c r="Q233" s="363" t="s">
        <v>61</v>
      </c>
      <c r="R233" s="65">
        <v>187</v>
      </c>
      <c r="S233" s="363" t="s">
        <v>62</v>
      </c>
      <c r="T233" s="65">
        <v>29</v>
      </c>
      <c r="U233" s="363" t="s">
        <v>55</v>
      </c>
      <c r="V233" s="66" t="s">
        <v>120</v>
      </c>
      <c r="W233" s="463" t="s">
        <v>394</v>
      </c>
      <c r="X233" s="465">
        <v>0.96</v>
      </c>
      <c r="Y233" s="463" t="s">
        <v>393</v>
      </c>
      <c r="Z233" s="358">
        <v>14</v>
      </c>
    </row>
    <row r="234" spans="1:26" x14ac:dyDescent="0.2">
      <c r="A234" s="362" t="s">
        <v>33</v>
      </c>
      <c r="B234" s="370">
        <v>0</v>
      </c>
      <c r="C234" s="371">
        <v>0.01</v>
      </c>
      <c r="D234" s="371">
        <v>0.02</v>
      </c>
      <c r="E234" s="371">
        <v>0.03</v>
      </c>
      <c r="F234" s="371">
        <v>0.04</v>
      </c>
      <c r="G234" s="371">
        <v>0.05</v>
      </c>
      <c r="H234" s="371">
        <v>0.1</v>
      </c>
      <c r="I234" s="371">
        <v>0.2</v>
      </c>
      <c r="J234" s="371">
        <v>0.3</v>
      </c>
      <c r="K234" s="371">
        <v>0.4</v>
      </c>
      <c r="L234" s="371">
        <v>0.6</v>
      </c>
      <c r="M234" s="371">
        <v>0.75</v>
      </c>
      <c r="N234" s="371">
        <v>0.81</v>
      </c>
      <c r="O234" s="371">
        <v>0.86</v>
      </c>
      <c r="P234" s="371">
        <v>0.9</v>
      </c>
      <c r="Q234" s="371">
        <v>0.95</v>
      </c>
      <c r="R234" s="371">
        <v>1</v>
      </c>
      <c r="S234" s="371">
        <f t="shared" ref="S234:X235" si="79">R234</f>
        <v>1</v>
      </c>
      <c r="T234" s="371">
        <f t="shared" si="79"/>
        <v>1</v>
      </c>
      <c r="U234" s="371">
        <f t="shared" si="79"/>
        <v>1</v>
      </c>
      <c r="V234" s="371">
        <f t="shared" si="79"/>
        <v>1</v>
      </c>
      <c r="W234" s="371">
        <f t="shared" si="79"/>
        <v>1</v>
      </c>
      <c r="X234" s="371">
        <v>2</v>
      </c>
      <c r="Y234" s="381">
        <v>1000</v>
      </c>
    </row>
    <row r="235" spans="1:26" x14ac:dyDescent="0.2">
      <c r="A235" s="378" t="s">
        <v>34</v>
      </c>
      <c r="B235" s="372">
        <v>0</v>
      </c>
      <c r="C235" s="373">
        <v>55</v>
      </c>
      <c r="D235" s="373">
        <v>168</v>
      </c>
      <c r="E235" s="373">
        <v>157</v>
      </c>
      <c r="F235" s="373">
        <v>148</v>
      </c>
      <c r="G235" s="373">
        <v>125</v>
      </c>
      <c r="H235" s="373">
        <v>135</v>
      </c>
      <c r="I235" s="373">
        <v>141</v>
      </c>
      <c r="J235" s="373">
        <v>142</v>
      </c>
      <c r="K235" s="373">
        <v>141</v>
      </c>
      <c r="L235" s="373">
        <v>133</v>
      </c>
      <c r="M235" s="373">
        <v>127</v>
      </c>
      <c r="N235" s="373">
        <v>128</v>
      </c>
      <c r="O235" s="373">
        <v>60</v>
      </c>
      <c r="P235" s="373">
        <v>15</v>
      </c>
      <c r="Q235" s="373">
        <v>0</v>
      </c>
      <c r="R235" s="373">
        <v>0</v>
      </c>
      <c r="S235" s="373">
        <f t="shared" si="79"/>
        <v>0</v>
      </c>
      <c r="T235" s="373">
        <f t="shared" si="79"/>
        <v>0</v>
      </c>
      <c r="U235" s="373">
        <f t="shared" si="79"/>
        <v>0</v>
      </c>
      <c r="V235" s="373">
        <f t="shared" si="79"/>
        <v>0</v>
      </c>
      <c r="W235" s="373">
        <f t="shared" si="79"/>
        <v>0</v>
      </c>
      <c r="X235" s="373">
        <f t="shared" si="79"/>
        <v>0</v>
      </c>
      <c r="Y235" s="382">
        <v>0</v>
      </c>
    </row>
    <row r="236" spans="1:26" ht="13.5" thickBot="1" x14ac:dyDescent="0.25">
      <c r="A236" s="379" t="s">
        <v>117</v>
      </c>
      <c r="B236" s="374">
        <f t="shared" ref="B236:X236" si="80">(C235+B235)*(C234-B234)/2</f>
        <v>0.27500000000000002</v>
      </c>
      <c r="C236" s="375">
        <f t="shared" si="80"/>
        <v>1.115</v>
      </c>
      <c r="D236" s="375">
        <f t="shared" si="80"/>
        <v>1.6249999999999998</v>
      </c>
      <c r="E236" s="375">
        <f t="shared" si="80"/>
        <v>1.5250000000000004</v>
      </c>
      <c r="F236" s="375">
        <f t="shared" si="80"/>
        <v>1.3650000000000002</v>
      </c>
      <c r="G236" s="375">
        <f t="shared" si="80"/>
        <v>6.5</v>
      </c>
      <c r="H236" s="375">
        <f t="shared" si="80"/>
        <v>13.8</v>
      </c>
      <c r="I236" s="375">
        <f t="shared" si="80"/>
        <v>14.149999999999997</v>
      </c>
      <c r="J236" s="375">
        <f t="shared" si="80"/>
        <v>14.150000000000004</v>
      </c>
      <c r="K236" s="375">
        <f t="shared" si="80"/>
        <v>27.399999999999995</v>
      </c>
      <c r="L236" s="375">
        <f t="shared" si="80"/>
        <v>19.500000000000004</v>
      </c>
      <c r="M236" s="375">
        <f t="shared" si="80"/>
        <v>7.6500000000000066</v>
      </c>
      <c r="N236" s="375">
        <f t="shared" si="80"/>
        <v>4.699999999999994</v>
      </c>
      <c r="O236" s="375">
        <f t="shared" si="80"/>
        <v>1.5000000000000013</v>
      </c>
      <c r="P236" s="375">
        <f t="shared" si="80"/>
        <v>0.3749999999999995</v>
      </c>
      <c r="Q236" s="375">
        <f t="shared" si="80"/>
        <v>0</v>
      </c>
      <c r="R236" s="375">
        <f t="shared" si="80"/>
        <v>0</v>
      </c>
      <c r="S236" s="375">
        <f t="shared" si="80"/>
        <v>0</v>
      </c>
      <c r="T236" s="375">
        <f t="shared" si="80"/>
        <v>0</v>
      </c>
      <c r="U236" s="375">
        <f t="shared" si="80"/>
        <v>0</v>
      </c>
      <c r="V236" s="375">
        <f t="shared" si="80"/>
        <v>0</v>
      </c>
      <c r="W236" s="375">
        <f t="shared" si="80"/>
        <v>0</v>
      </c>
      <c r="X236" s="375">
        <f t="shared" si="80"/>
        <v>0</v>
      </c>
      <c r="Y236" s="369"/>
    </row>
    <row r="237" spans="1:26" ht="13.5" thickBo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392</v>
      </c>
      <c r="B238" s="359">
        <f>ROW(A238)</f>
        <v>238</v>
      </c>
      <c r="C238" s="363" t="s">
        <v>116</v>
      </c>
      <c r="D238" s="353">
        <f>SUM(B241:Y241)</f>
        <v>158.04815100000002</v>
      </c>
      <c r="E238" s="363" t="s">
        <v>115</v>
      </c>
      <c r="F238" s="354">
        <v>198</v>
      </c>
      <c r="G238" s="363" t="s">
        <v>57</v>
      </c>
      <c r="H238" s="64">
        <v>0.19450000000000001</v>
      </c>
      <c r="I238" s="363" t="s">
        <v>270</v>
      </c>
      <c r="J238" s="355">
        <f>H238-L238</f>
        <v>8.9600000000000013E-2</v>
      </c>
      <c r="K238" s="363" t="s">
        <v>271</v>
      </c>
      <c r="L238" s="64">
        <v>0.10489999999999999</v>
      </c>
      <c r="M238" s="363" t="s">
        <v>58</v>
      </c>
      <c r="N238" s="65">
        <v>93</v>
      </c>
      <c r="O238" s="363" t="s">
        <v>60</v>
      </c>
      <c r="P238" s="65">
        <v>93</v>
      </c>
      <c r="Q238" s="363" t="s">
        <v>61</v>
      </c>
      <c r="R238" s="65">
        <v>187</v>
      </c>
      <c r="S238" s="363" t="s">
        <v>62</v>
      </c>
      <c r="T238" s="65">
        <v>29</v>
      </c>
      <c r="U238" s="363" t="s">
        <v>55</v>
      </c>
      <c r="V238" s="66" t="s">
        <v>120</v>
      </c>
      <c r="W238" s="463" t="s">
        <v>394</v>
      </c>
      <c r="X238" s="465">
        <v>1.27</v>
      </c>
      <c r="Y238" s="463" t="s">
        <v>393</v>
      </c>
      <c r="Z238" s="358">
        <v>14</v>
      </c>
    </row>
    <row r="239" spans="1:26" x14ac:dyDescent="0.2">
      <c r="A239" s="362" t="s">
        <v>33</v>
      </c>
      <c r="B239" s="472">
        <v>0</v>
      </c>
      <c r="C239" s="472">
        <v>4.0000000000000001E-3</v>
      </c>
      <c r="D239" s="472">
        <v>2.1999999999999999E-2</v>
      </c>
      <c r="E239" s="472">
        <v>3.9E-2</v>
      </c>
      <c r="F239" s="472">
        <v>0.122</v>
      </c>
      <c r="G239" s="472">
        <v>0.23599999999999999</v>
      </c>
      <c r="H239" s="472">
        <v>0.58899999999999997</v>
      </c>
      <c r="I239" s="472">
        <v>0.80100000000000005</v>
      </c>
      <c r="J239" s="472">
        <v>1.0680000000000001</v>
      </c>
      <c r="K239" s="472">
        <v>1.1180000000000001</v>
      </c>
      <c r="L239" s="472">
        <v>1.145</v>
      </c>
      <c r="M239" s="472">
        <v>1.1739999999999999</v>
      </c>
      <c r="N239" s="472">
        <v>1.2110000000000001</v>
      </c>
      <c r="O239" s="472">
        <v>1.2470000000000001</v>
      </c>
      <c r="P239" s="472">
        <v>1.2989999999999999</v>
      </c>
      <c r="Q239" s="371">
        <v>2</v>
      </c>
      <c r="R239" s="371">
        <v>2</v>
      </c>
      <c r="S239" s="371">
        <f t="shared" ref="S239:X240" si="81">R239</f>
        <v>2</v>
      </c>
      <c r="T239" s="371">
        <f t="shared" si="81"/>
        <v>2</v>
      </c>
      <c r="U239" s="371">
        <f t="shared" si="81"/>
        <v>2</v>
      </c>
      <c r="V239" s="371">
        <f t="shared" si="81"/>
        <v>2</v>
      </c>
      <c r="W239" s="371">
        <f t="shared" si="81"/>
        <v>2</v>
      </c>
      <c r="X239" s="371">
        <f t="shared" si="81"/>
        <v>2</v>
      </c>
      <c r="Y239" s="381">
        <v>1000</v>
      </c>
    </row>
    <row r="240" spans="1:26" x14ac:dyDescent="0.2">
      <c r="A240" s="378" t="s">
        <v>34</v>
      </c>
      <c r="B240" s="472">
        <v>0</v>
      </c>
      <c r="C240" s="472">
        <v>15.683</v>
      </c>
      <c r="D240" s="472">
        <v>170.834</v>
      </c>
      <c r="E240" s="472">
        <v>116.877</v>
      </c>
      <c r="F240" s="472">
        <v>142.642</v>
      </c>
      <c r="G240" s="472">
        <v>149.73699999999999</v>
      </c>
      <c r="H240" s="472">
        <v>142.642</v>
      </c>
      <c r="I240" s="472">
        <v>131.25299999999999</v>
      </c>
      <c r="J240" s="472">
        <v>122.104</v>
      </c>
      <c r="K240" s="472">
        <v>107.91500000000001</v>
      </c>
      <c r="L240" s="472">
        <v>78.415999999999997</v>
      </c>
      <c r="M240" s="472">
        <v>43.128999999999998</v>
      </c>
      <c r="N240" s="472">
        <v>21.471</v>
      </c>
      <c r="O240" s="472">
        <v>8.7750000000000004</v>
      </c>
      <c r="P240" s="472">
        <v>0</v>
      </c>
      <c r="Q240" s="373">
        <v>0</v>
      </c>
      <c r="R240" s="373">
        <v>0</v>
      </c>
      <c r="S240" s="373">
        <f t="shared" si="81"/>
        <v>0</v>
      </c>
      <c r="T240" s="373">
        <f t="shared" si="81"/>
        <v>0</v>
      </c>
      <c r="U240" s="373">
        <f t="shared" si="81"/>
        <v>0</v>
      </c>
      <c r="V240" s="373">
        <f t="shared" si="81"/>
        <v>0</v>
      </c>
      <c r="W240" s="373">
        <f t="shared" si="81"/>
        <v>0</v>
      </c>
      <c r="X240" s="373">
        <f t="shared" si="81"/>
        <v>0</v>
      </c>
      <c r="Y240" s="382">
        <v>0</v>
      </c>
    </row>
    <row r="241" spans="1:26" ht="13.5" thickBot="1" x14ac:dyDescent="0.25">
      <c r="A241" s="379" t="s">
        <v>117</v>
      </c>
      <c r="B241" s="374">
        <f t="shared" ref="B241:X241" si="82">(C240+B240)*(C239-B239)/2</f>
        <v>3.1365999999999998E-2</v>
      </c>
      <c r="C241" s="375">
        <f t="shared" si="82"/>
        <v>1.6786529999999997</v>
      </c>
      <c r="D241" s="375">
        <f t="shared" si="82"/>
        <v>2.4455435000000003</v>
      </c>
      <c r="E241" s="375">
        <f t="shared" si="82"/>
        <v>10.770038499999998</v>
      </c>
      <c r="F241" s="375">
        <f t="shared" si="82"/>
        <v>16.665603000000001</v>
      </c>
      <c r="G241" s="375">
        <f t="shared" si="82"/>
        <v>51.604893500000003</v>
      </c>
      <c r="H241" s="375">
        <f t="shared" si="82"/>
        <v>29.03287000000001</v>
      </c>
      <c r="I241" s="375">
        <f t="shared" si="82"/>
        <v>33.823159499999996</v>
      </c>
      <c r="J241" s="375">
        <f t="shared" si="82"/>
        <v>5.7504750000000051</v>
      </c>
      <c r="K241" s="375">
        <f t="shared" si="82"/>
        <v>2.5154684999999923</v>
      </c>
      <c r="L241" s="375">
        <f t="shared" si="82"/>
        <v>1.7624024999999945</v>
      </c>
      <c r="M241" s="375">
        <f t="shared" si="82"/>
        <v>1.1951000000000045</v>
      </c>
      <c r="N241" s="375">
        <f t="shared" si="82"/>
        <v>0.54442800000000058</v>
      </c>
      <c r="O241" s="375">
        <f t="shared" si="82"/>
        <v>0.22814999999999924</v>
      </c>
      <c r="P241" s="375">
        <f t="shared" si="82"/>
        <v>0</v>
      </c>
      <c r="Q241" s="375">
        <f t="shared" si="82"/>
        <v>0</v>
      </c>
      <c r="R241" s="375">
        <f t="shared" si="82"/>
        <v>0</v>
      </c>
      <c r="S241" s="375">
        <f t="shared" si="82"/>
        <v>0</v>
      </c>
      <c r="T241" s="375">
        <f t="shared" si="82"/>
        <v>0</v>
      </c>
      <c r="U241" s="375">
        <f t="shared" si="82"/>
        <v>0</v>
      </c>
      <c r="V241" s="375">
        <f t="shared" si="82"/>
        <v>0</v>
      </c>
      <c r="W241" s="375">
        <f t="shared" si="82"/>
        <v>0</v>
      </c>
      <c r="X241" s="375">
        <f t="shared" si="82"/>
        <v>0</v>
      </c>
      <c r="Y241" s="369"/>
    </row>
    <row r="242" spans="1:26" ht="13.5" thickBot="1" x14ac:dyDescent="0.25">
      <c r="A242" s="6" t="s">
        <v>374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379</v>
      </c>
      <c r="B243" s="359">
        <f>ROW(A243)</f>
        <v>243</v>
      </c>
      <c r="C243" s="363" t="s">
        <v>116</v>
      </c>
      <c r="D243" s="353">
        <f>SUM(B246:Y246)</f>
        <v>136.75235000000001</v>
      </c>
      <c r="E243" s="363" t="s">
        <v>115</v>
      </c>
      <c r="F243" s="354">
        <f>D243/g/J243</f>
        <v>152.35078513616639</v>
      </c>
      <c r="G243" s="363" t="s">
        <v>57</v>
      </c>
      <c r="H243" s="64">
        <v>0.21249999999999999</v>
      </c>
      <c r="I243" s="363" t="s">
        <v>270</v>
      </c>
      <c r="J243" s="355">
        <f>H243-L243</f>
        <v>9.1499999999999998E-2</v>
      </c>
      <c r="K243" s="363" t="s">
        <v>271</v>
      </c>
      <c r="L243" s="64">
        <v>0.121</v>
      </c>
      <c r="M243" s="363" t="s">
        <v>58</v>
      </c>
      <c r="N243" s="65">
        <v>63</v>
      </c>
      <c r="O243" s="363" t="s">
        <v>60</v>
      </c>
      <c r="P243" s="65">
        <v>114</v>
      </c>
      <c r="Q243" s="363" t="s">
        <v>61</v>
      </c>
      <c r="R243" s="65">
        <v>127</v>
      </c>
      <c r="S243" s="363" t="s">
        <v>62</v>
      </c>
      <c r="T243" s="65">
        <v>38</v>
      </c>
      <c r="U243" s="363" t="s">
        <v>55</v>
      </c>
      <c r="V243" s="66" t="s">
        <v>120</v>
      </c>
      <c r="W243" s="463" t="s">
        <v>394</v>
      </c>
      <c r="X243" s="465">
        <v>2.36</v>
      </c>
      <c r="Y243" s="463" t="s">
        <v>393</v>
      </c>
      <c r="Z243" s="358">
        <v>13</v>
      </c>
    </row>
    <row r="244" spans="1:26" x14ac:dyDescent="0.2">
      <c r="A244" s="362" t="s">
        <v>33</v>
      </c>
      <c r="B244" s="370">
        <v>0</v>
      </c>
      <c r="C244" s="371">
        <v>2.9000000000000001E-2</v>
      </c>
      <c r="D244" s="371">
        <v>4.5999999999999999E-2</v>
      </c>
      <c r="E244" s="371">
        <v>5.8000000000000003E-2</v>
      </c>
      <c r="F244" s="371">
        <v>8.4000000000000005E-2</v>
      </c>
      <c r="G244" s="371">
        <v>0.17100000000000001</v>
      </c>
      <c r="H244" s="371">
        <v>0.28000000000000003</v>
      </c>
      <c r="I244" s="371">
        <v>0.45500000000000002</v>
      </c>
      <c r="J244" s="371">
        <v>0.58599999999999997</v>
      </c>
      <c r="K244" s="371">
        <v>0.74099999999999999</v>
      </c>
      <c r="L244" s="371">
        <v>0.95199999999999996</v>
      </c>
      <c r="M244" s="371">
        <v>1.2170000000000001</v>
      </c>
      <c r="N244" s="371">
        <v>1.43</v>
      </c>
      <c r="O244" s="371">
        <v>1.6259999999999999</v>
      </c>
      <c r="P244" s="371">
        <v>1.8069999999999999</v>
      </c>
      <c r="Q244" s="371">
        <v>1.9590000000000001</v>
      </c>
      <c r="R244" s="371">
        <v>2.1040000000000001</v>
      </c>
      <c r="S244" s="371">
        <v>2.1680000000000001</v>
      </c>
      <c r="T244" s="371">
        <v>2.21</v>
      </c>
      <c r="U244" s="371">
        <v>2.2469999999999999</v>
      </c>
      <c r="V244" s="371">
        <v>2.3290000000000002</v>
      </c>
      <c r="W244" s="371">
        <f>2.4</f>
        <v>2.4</v>
      </c>
      <c r="X244" s="371">
        <f>W244</f>
        <v>2.4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90.25</v>
      </c>
      <c r="D245" s="373">
        <v>69.17</v>
      </c>
      <c r="E245" s="373">
        <v>59.947000000000003</v>
      </c>
      <c r="F245" s="373">
        <v>47.167000000000002</v>
      </c>
      <c r="G245" s="373">
        <v>57.970999999999997</v>
      </c>
      <c r="H245" s="373">
        <v>59.552</v>
      </c>
      <c r="I245" s="373">
        <v>61.265000000000001</v>
      </c>
      <c r="J245" s="373">
        <v>61.66</v>
      </c>
      <c r="K245" s="373">
        <v>62.319000000000003</v>
      </c>
      <c r="L245" s="373">
        <v>63.768000000000001</v>
      </c>
      <c r="M245" s="373">
        <v>64.69</v>
      </c>
      <c r="N245" s="373">
        <v>63.768000000000001</v>
      </c>
      <c r="O245" s="373">
        <v>61.265000000000001</v>
      </c>
      <c r="P245" s="373">
        <v>58.103000000000002</v>
      </c>
      <c r="Q245" s="373">
        <v>53.887</v>
      </c>
      <c r="R245" s="373">
        <v>48.353000000000002</v>
      </c>
      <c r="S245" s="373">
        <v>47.563000000000002</v>
      </c>
      <c r="T245" s="373">
        <v>44.005000000000003</v>
      </c>
      <c r="U245" s="373">
        <v>37.286000000000001</v>
      </c>
      <c r="V245" s="373">
        <v>22.265999999999998</v>
      </c>
      <c r="W245" s="373">
        <v>0</v>
      </c>
      <c r="X245" s="373">
        <f>W245</f>
        <v>0</v>
      </c>
      <c r="Y245" s="382">
        <v>0</v>
      </c>
    </row>
    <row r="246" spans="1:26" ht="13.5" thickBot="1" x14ac:dyDescent="0.25">
      <c r="A246" s="379" t="s">
        <v>117</v>
      </c>
      <c r="B246" s="374">
        <f t="shared" ref="B246:X246" si="83">(C245+B245)*(C244-B244)/2</f>
        <v>1.3086250000000001</v>
      </c>
      <c r="C246" s="375">
        <f t="shared" si="83"/>
        <v>1.35507</v>
      </c>
      <c r="D246" s="375">
        <f t="shared" si="83"/>
        <v>0.77470200000000033</v>
      </c>
      <c r="E246" s="375">
        <f t="shared" si="83"/>
        <v>1.3924820000000002</v>
      </c>
      <c r="F246" s="375">
        <f t="shared" si="83"/>
        <v>4.5735030000000005</v>
      </c>
      <c r="G246" s="375">
        <f t="shared" si="83"/>
        <v>6.4050035000000003</v>
      </c>
      <c r="H246" s="375">
        <f t="shared" si="83"/>
        <v>10.5714875</v>
      </c>
      <c r="I246" s="375">
        <f t="shared" si="83"/>
        <v>8.0515874999999966</v>
      </c>
      <c r="J246" s="375">
        <f t="shared" si="83"/>
        <v>9.6083725000000015</v>
      </c>
      <c r="K246" s="375">
        <f t="shared" si="83"/>
        <v>13.302178499999998</v>
      </c>
      <c r="L246" s="375">
        <f t="shared" si="83"/>
        <v>17.020685000000007</v>
      </c>
      <c r="M246" s="375">
        <f t="shared" si="83"/>
        <v>13.68077699999999</v>
      </c>
      <c r="N246" s="375">
        <f t="shared" si="83"/>
        <v>12.253233999999997</v>
      </c>
      <c r="O246" s="375">
        <f t="shared" si="83"/>
        <v>10.802804000000002</v>
      </c>
      <c r="P246" s="375">
        <f t="shared" si="83"/>
        <v>8.5112400000000079</v>
      </c>
      <c r="Q246" s="375">
        <f t="shared" si="83"/>
        <v>7.4124000000000017</v>
      </c>
      <c r="R246" s="375">
        <f t="shared" si="83"/>
        <v>3.0693120000000027</v>
      </c>
      <c r="S246" s="375">
        <f t="shared" si="83"/>
        <v>1.9229279999999918</v>
      </c>
      <c r="T246" s="375">
        <f t="shared" si="83"/>
        <v>1.5038834999999968</v>
      </c>
      <c r="U246" s="375">
        <f t="shared" si="83"/>
        <v>2.4416320000000087</v>
      </c>
      <c r="V246" s="375">
        <f t="shared" si="83"/>
        <v>0.7904429999999969</v>
      </c>
      <c r="W246" s="375">
        <f t="shared" si="83"/>
        <v>0</v>
      </c>
      <c r="X246" s="375">
        <f t="shared" si="83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380</v>
      </c>
      <c r="B248" s="359">
        <f>ROW(A248)</f>
        <v>248</v>
      </c>
      <c r="C248" s="363" t="s">
        <v>116</v>
      </c>
      <c r="D248" s="353">
        <f>SUM(B251:Y251)</f>
        <v>127.06944999999999</v>
      </c>
      <c r="E248" s="363" t="s">
        <v>115</v>
      </c>
      <c r="F248" s="354">
        <f>D248/g/J248</f>
        <v>180.65624835614466</v>
      </c>
      <c r="G248" s="363" t="s">
        <v>57</v>
      </c>
      <c r="H248" s="64">
        <v>0.18840000000000001</v>
      </c>
      <c r="I248" s="363" t="s">
        <v>270</v>
      </c>
      <c r="J248" s="355">
        <f>H248-L248</f>
        <v>7.1700000000000014E-2</v>
      </c>
      <c r="K248" s="363" t="s">
        <v>271</v>
      </c>
      <c r="L248" s="64">
        <v>0.1167</v>
      </c>
      <c r="M248" s="363" t="s">
        <v>58</v>
      </c>
      <c r="N248" s="65">
        <v>63</v>
      </c>
      <c r="O248" s="363" t="s">
        <v>60</v>
      </c>
      <c r="P248" s="65">
        <v>114</v>
      </c>
      <c r="Q248" s="363" t="s">
        <v>61</v>
      </c>
      <c r="R248" s="65">
        <v>127</v>
      </c>
      <c r="S248" s="363" t="s">
        <v>62</v>
      </c>
      <c r="T248" s="65">
        <v>38</v>
      </c>
      <c r="U248" s="363" t="s">
        <v>55</v>
      </c>
      <c r="V248" s="66" t="s">
        <v>120</v>
      </c>
      <c r="W248" s="463" t="s">
        <v>394</v>
      </c>
      <c r="X248" s="465">
        <v>0.69</v>
      </c>
      <c r="Y248" s="463" t="s">
        <v>393</v>
      </c>
      <c r="Z248" s="358">
        <v>12</v>
      </c>
    </row>
    <row r="249" spans="1:26" x14ac:dyDescent="0.2">
      <c r="A249" s="362" t="s">
        <v>33</v>
      </c>
      <c r="B249" s="370">
        <v>0</v>
      </c>
      <c r="C249" s="371">
        <v>0.01</v>
      </c>
      <c r="D249" s="371">
        <v>0.02</v>
      </c>
      <c r="E249" s="371">
        <v>0.05</v>
      </c>
      <c r="F249" s="371">
        <v>0.1</v>
      </c>
      <c r="G249" s="371">
        <v>0.2</v>
      </c>
      <c r="H249" s="371">
        <v>0.3</v>
      </c>
      <c r="I249" s="371">
        <v>0.35</v>
      </c>
      <c r="J249" s="371">
        <v>0.4</v>
      </c>
      <c r="K249" s="371">
        <v>0.45</v>
      </c>
      <c r="L249" s="371">
        <v>0.5</v>
      </c>
      <c r="M249" s="371">
        <v>0.55000000000000004</v>
      </c>
      <c r="N249" s="371">
        <v>0.6</v>
      </c>
      <c r="O249" s="371">
        <v>0.61</v>
      </c>
      <c r="P249" s="371">
        <v>0.63</v>
      </c>
      <c r="Q249" s="371">
        <v>0.64</v>
      </c>
      <c r="R249" s="371">
        <v>0.65</v>
      </c>
      <c r="S249" s="371">
        <v>0.67</v>
      </c>
      <c r="T249" s="371">
        <v>0.68</v>
      </c>
      <c r="U249" s="371">
        <v>0.69</v>
      </c>
      <c r="V249" s="371">
        <f t="shared" ref="V249:X250" si="84">U249</f>
        <v>0.69</v>
      </c>
      <c r="W249" s="371">
        <f t="shared" si="84"/>
        <v>0.69</v>
      </c>
      <c r="X249" s="371"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3">
        <v>108.72</v>
      </c>
      <c r="D250" s="373">
        <v>131.19</v>
      </c>
      <c r="E250" s="373">
        <v>153.13999999999999</v>
      </c>
      <c r="F250" s="373">
        <v>168.97</v>
      </c>
      <c r="G250" s="373">
        <v>189.92</v>
      </c>
      <c r="H250" s="373">
        <v>199.95</v>
      </c>
      <c r="I250" s="373">
        <v>203.59</v>
      </c>
      <c r="J250" s="373">
        <v>205.03</v>
      </c>
      <c r="K250" s="373">
        <v>202.6</v>
      </c>
      <c r="L250" s="373">
        <v>203.06</v>
      </c>
      <c r="M250" s="373">
        <v>199.34</v>
      </c>
      <c r="N250" s="373">
        <v>194.71</v>
      </c>
      <c r="O250" s="373">
        <v>194.1</v>
      </c>
      <c r="P250" s="373">
        <v>193.49</v>
      </c>
      <c r="Q250" s="373">
        <v>193.68</v>
      </c>
      <c r="R250" s="373">
        <v>202.91</v>
      </c>
      <c r="S250" s="373">
        <v>163.38999999999999</v>
      </c>
      <c r="T250" s="373">
        <v>80.44</v>
      </c>
      <c r="U250" s="373">
        <v>0</v>
      </c>
      <c r="V250" s="373">
        <f t="shared" si="84"/>
        <v>0</v>
      </c>
      <c r="W250" s="373">
        <f t="shared" si="84"/>
        <v>0</v>
      </c>
      <c r="X250" s="373">
        <f t="shared" si="84"/>
        <v>0</v>
      </c>
      <c r="Y250" s="382">
        <v>0</v>
      </c>
    </row>
    <row r="251" spans="1:26" ht="13.5" thickBot="1" x14ac:dyDescent="0.25">
      <c r="A251" s="379" t="s">
        <v>117</v>
      </c>
      <c r="B251" s="374">
        <f t="shared" ref="B251:X251" si="85">(C250+B250)*(C249-B249)/2</f>
        <v>0.54359999999999997</v>
      </c>
      <c r="C251" s="375">
        <f t="shared" si="85"/>
        <v>1.1995500000000001</v>
      </c>
      <c r="D251" s="375">
        <f t="shared" si="85"/>
        <v>4.2649499999999998</v>
      </c>
      <c r="E251" s="375">
        <f t="shared" si="85"/>
        <v>8.0527500000000014</v>
      </c>
      <c r="F251" s="375">
        <f t="shared" si="85"/>
        <v>17.944500000000001</v>
      </c>
      <c r="G251" s="375">
        <f t="shared" si="85"/>
        <v>19.493499999999997</v>
      </c>
      <c r="H251" s="375">
        <f t="shared" si="85"/>
        <v>10.088499999999996</v>
      </c>
      <c r="I251" s="375">
        <f t="shared" si="85"/>
        <v>10.215500000000009</v>
      </c>
      <c r="J251" s="375">
        <f t="shared" si="85"/>
        <v>10.190749999999998</v>
      </c>
      <c r="K251" s="375">
        <f t="shared" si="85"/>
        <v>10.141499999999997</v>
      </c>
      <c r="L251" s="375">
        <f t="shared" si="85"/>
        <v>10.060000000000008</v>
      </c>
      <c r="M251" s="375">
        <f t="shared" si="85"/>
        <v>9.8512499999999878</v>
      </c>
      <c r="N251" s="375">
        <f t="shared" si="85"/>
        <v>1.9440500000000018</v>
      </c>
      <c r="O251" s="375">
        <f t="shared" si="85"/>
        <v>3.8759000000000037</v>
      </c>
      <c r="P251" s="375">
        <f t="shared" si="85"/>
        <v>1.9358500000000018</v>
      </c>
      <c r="Q251" s="375">
        <f t="shared" si="85"/>
        <v>1.982950000000002</v>
      </c>
      <c r="R251" s="375">
        <f t="shared" si="85"/>
        <v>3.6630000000000029</v>
      </c>
      <c r="S251" s="375">
        <f t="shared" si="85"/>
        <v>1.2191500000000011</v>
      </c>
      <c r="T251" s="375">
        <f t="shared" si="85"/>
        <v>0.40219999999999589</v>
      </c>
      <c r="U251" s="375">
        <f t="shared" si="85"/>
        <v>0</v>
      </c>
      <c r="V251" s="375">
        <f t="shared" si="85"/>
        <v>0</v>
      </c>
      <c r="W251" s="375">
        <f t="shared" si="85"/>
        <v>0</v>
      </c>
      <c r="X251" s="375">
        <f t="shared" si="85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388</v>
      </c>
      <c r="B253" s="359">
        <f>ROW(A253)</f>
        <v>253</v>
      </c>
      <c r="C253" s="363" t="s">
        <v>116</v>
      </c>
      <c r="D253" s="353">
        <f>SUM(B256:Y256)</f>
        <v>142.7236025</v>
      </c>
      <c r="E253" s="363" t="s">
        <v>115</v>
      </c>
      <c r="F253" s="354">
        <v>208</v>
      </c>
      <c r="G253" s="363" t="s">
        <v>57</v>
      </c>
      <c r="H253" s="64">
        <v>0.19700000000000001</v>
      </c>
      <c r="I253" s="363" t="s">
        <v>270</v>
      </c>
      <c r="J253" s="355">
        <f>H253-L253</f>
        <v>7.0000000000000007E-2</v>
      </c>
      <c r="K253" s="363" t="s">
        <v>271</v>
      </c>
      <c r="L253" s="64">
        <v>0.127</v>
      </c>
      <c r="M253" s="363" t="s">
        <v>58</v>
      </c>
      <c r="N253" s="65">
        <v>63</v>
      </c>
      <c r="O253" s="363" t="s">
        <v>60</v>
      </c>
      <c r="P253" s="65">
        <v>114</v>
      </c>
      <c r="Q253" s="363" t="s">
        <v>61</v>
      </c>
      <c r="R253" s="65">
        <v>127</v>
      </c>
      <c r="S253" s="363" t="s">
        <v>62</v>
      </c>
      <c r="T253" s="65">
        <v>38</v>
      </c>
      <c r="U253" s="363" t="s">
        <v>55</v>
      </c>
      <c r="V253" s="66" t="s">
        <v>120</v>
      </c>
      <c r="W253" s="463" t="s">
        <v>394</v>
      </c>
      <c r="X253" s="465">
        <v>1.8</v>
      </c>
      <c r="Y253" s="463" t="s">
        <v>393</v>
      </c>
      <c r="Z253" s="358">
        <v>15</v>
      </c>
    </row>
    <row r="254" spans="1:26" x14ac:dyDescent="0.2">
      <c r="A254" s="362" t="s">
        <v>33</v>
      </c>
      <c r="B254" s="370">
        <v>0</v>
      </c>
      <c r="C254" s="370">
        <v>6.0000000000000001E-3</v>
      </c>
      <c r="D254" s="371">
        <v>1.7999999999999999E-2</v>
      </c>
      <c r="E254" s="371">
        <v>3.5999999999999997E-2</v>
      </c>
      <c r="F254" s="371">
        <v>4.7E-2</v>
      </c>
      <c r="G254" s="371">
        <v>8.4000000000000005E-2</v>
      </c>
      <c r="H254" s="371">
        <v>0.13500000000000001</v>
      </c>
      <c r="I254" s="371">
        <v>0.23799999999999999</v>
      </c>
      <c r="J254" s="371">
        <v>0.438</v>
      </c>
      <c r="K254" s="371">
        <v>0.63</v>
      </c>
      <c r="L254" s="371">
        <v>0.85899999999999999</v>
      </c>
      <c r="M254" s="371">
        <v>1.2829999999999999</v>
      </c>
      <c r="N254" s="371">
        <v>1.4470000000000001</v>
      </c>
      <c r="O254" s="371">
        <v>1.643</v>
      </c>
      <c r="P254" s="371">
        <v>1.7130000000000001</v>
      </c>
      <c r="Q254" s="371">
        <v>1.7430000000000001</v>
      </c>
      <c r="R254" s="371">
        <v>1.79</v>
      </c>
      <c r="S254" s="371">
        <v>1.8180000000000001</v>
      </c>
      <c r="T254" s="371">
        <v>1.8520000000000001</v>
      </c>
      <c r="U254" s="371">
        <v>2</v>
      </c>
      <c r="V254" s="371">
        <f t="shared" ref="V254:X255" si="86">U254</f>
        <v>2</v>
      </c>
      <c r="W254" s="371">
        <f t="shared" si="86"/>
        <v>2</v>
      </c>
      <c r="X254" s="371">
        <f t="shared" si="86"/>
        <v>2</v>
      </c>
      <c r="Y254" s="381">
        <v>1000</v>
      </c>
    </row>
    <row r="255" spans="1:26" x14ac:dyDescent="0.2">
      <c r="A255" s="378" t="s">
        <v>34</v>
      </c>
      <c r="B255" s="372">
        <v>0</v>
      </c>
      <c r="C255" s="372">
        <v>104.068</v>
      </c>
      <c r="D255" s="373">
        <v>137.928</v>
      </c>
      <c r="E255" s="373">
        <v>70.706999999999994</v>
      </c>
      <c r="F255" s="373">
        <v>62.241999999999997</v>
      </c>
      <c r="G255" s="373">
        <v>73.694000000000003</v>
      </c>
      <c r="H255" s="373">
        <v>78.176000000000002</v>
      </c>
      <c r="I255" s="373">
        <v>84.150999999999996</v>
      </c>
      <c r="J255" s="373">
        <v>89.628</v>
      </c>
      <c r="K255" s="373">
        <v>88.135000000000005</v>
      </c>
      <c r="L255" s="373">
        <v>87.138999999999996</v>
      </c>
      <c r="M255" s="373">
        <v>77.180000000000007</v>
      </c>
      <c r="N255" s="373">
        <v>70.706999999999994</v>
      </c>
      <c r="O255" s="373">
        <v>67.718999999999994</v>
      </c>
      <c r="P255" s="373">
        <v>64.233999999999995</v>
      </c>
      <c r="Q255" s="373">
        <v>54.274999999999999</v>
      </c>
      <c r="R255" s="373">
        <v>18.423999999999999</v>
      </c>
      <c r="S255" s="373">
        <v>6.4729999999999999</v>
      </c>
      <c r="T255" s="373">
        <v>0</v>
      </c>
      <c r="U255" s="373">
        <v>0</v>
      </c>
      <c r="V255" s="373">
        <f t="shared" si="86"/>
        <v>0</v>
      </c>
      <c r="W255" s="373">
        <f t="shared" si="86"/>
        <v>0</v>
      </c>
      <c r="X255" s="373">
        <f t="shared" si="86"/>
        <v>0</v>
      </c>
      <c r="Y255" s="382">
        <v>0</v>
      </c>
    </row>
    <row r="256" spans="1:26" ht="13.5" thickBot="1" x14ac:dyDescent="0.25">
      <c r="A256" s="379" t="s">
        <v>117</v>
      </c>
      <c r="B256" s="374">
        <f t="shared" ref="B256:X256" si="87">(C255+B255)*(C254-B254)/2</f>
        <v>0.31220399999999998</v>
      </c>
      <c r="C256" s="375">
        <f t="shared" si="87"/>
        <v>1.4519759999999997</v>
      </c>
      <c r="D256" s="375">
        <f t="shared" si="87"/>
        <v>1.8777149999999998</v>
      </c>
      <c r="E256" s="375">
        <f t="shared" si="87"/>
        <v>0.73121950000000013</v>
      </c>
      <c r="F256" s="375">
        <f t="shared" si="87"/>
        <v>2.5148160000000006</v>
      </c>
      <c r="G256" s="375">
        <f t="shared" si="87"/>
        <v>3.8726850000000006</v>
      </c>
      <c r="H256" s="375">
        <f t="shared" si="87"/>
        <v>8.3598404999999989</v>
      </c>
      <c r="I256" s="375">
        <f t="shared" si="87"/>
        <v>17.3779</v>
      </c>
      <c r="J256" s="375">
        <f t="shared" si="87"/>
        <v>17.065248</v>
      </c>
      <c r="K256" s="375">
        <f t="shared" si="87"/>
        <v>20.068873</v>
      </c>
      <c r="L256" s="375">
        <f t="shared" si="87"/>
        <v>34.835628</v>
      </c>
      <c r="M256" s="375">
        <f t="shared" si="87"/>
        <v>12.126734000000011</v>
      </c>
      <c r="N256" s="375">
        <f t="shared" si="87"/>
        <v>13.565747999999996</v>
      </c>
      <c r="O256" s="375">
        <f t="shared" si="87"/>
        <v>4.6183550000000029</v>
      </c>
      <c r="P256" s="375">
        <f t="shared" si="87"/>
        <v>1.7776350000000014</v>
      </c>
      <c r="Q256" s="375">
        <f t="shared" si="87"/>
        <v>1.7084264999999974</v>
      </c>
      <c r="R256" s="375">
        <f t="shared" si="87"/>
        <v>0.34855800000000031</v>
      </c>
      <c r="S256" s="375">
        <f t="shared" si="87"/>
        <v>0.1100410000000001</v>
      </c>
      <c r="T256" s="375">
        <f t="shared" si="87"/>
        <v>0</v>
      </c>
      <c r="U256" s="375">
        <f t="shared" si="87"/>
        <v>0</v>
      </c>
      <c r="V256" s="375">
        <f t="shared" si="87"/>
        <v>0</v>
      </c>
      <c r="W256" s="375">
        <f t="shared" si="87"/>
        <v>0</v>
      </c>
      <c r="X256" s="375">
        <f t="shared" si="87"/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273</v>
      </c>
      <c r="B258" s="360">
        <f>ROW(A258)</f>
        <v>258</v>
      </c>
      <c r="C258" s="363" t="s">
        <v>116</v>
      </c>
      <c r="D258" s="353">
        <f>SUM(B261:Y261)</f>
        <v>33.500000000000007</v>
      </c>
      <c r="E258" s="363" t="s">
        <v>115</v>
      </c>
      <c r="F258" s="354">
        <f>D258/g/J258</f>
        <v>68.297655453618759</v>
      </c>
      <c r="G258" s="363" t="s">
        <v>57</v>
      </c>
      <c r="H258" s="64">
        <v>8.5000000000000006E-2</v>
      </c>
      <c r="I258" s="363" t="s">
        <v>270</v>
      </c>
      <c r="J258" s="355">
        <f>H258-L258</f>
        <v>0.05</v>
      </c>
      <c r="K258" s="363" t="s">
        <v>271</v>
      </c>
      <c r="L258" s="64">
        <v>3.5000000000000003E-2</v>
      </c>
      <c r="M258" s="363" t="s">
        <v>58</v>
      </c>
      <c r="N258" s="65">
        <v>20</v>
      </c>
      <c r="O258" s="363" t="s">
        <v>60</v>
      </c>
      <c r="P258" s="65">
        <v>20</v>
      </c>
      <c r="Q258" s="363" t="s">
        <v>61</v>
      </c>
      <c r="R258" s="65">
        <v>39</v>
      </c>
      <c r="S258" s="363" t="s">
        <v>62</v>
      </c>
      <c r="T258" s="65">
        <v>39</v>
      </c>
      <c r="U258" s="363" t="s">
        <v>55</v>
      </c>
      <c r="V258" s="66" t="s">
        <v>401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0.05</v>
      </c>
      <c r="D259" s="371">
        <v>0.1</v>
      </c>
      <c r="E259" s="371">
        <v>0.25</v>
      </c>
      <c r="F259" s="371">
        <v>0.3</v>
      </c>
      <c r="G259" s="371">
        <v>0.35</v>
      </c>
      <c r="H259" s="371">
        <v>0.45</v>
      </c>
      <c r="I259" s="371">
        <v>0.55000000000000004</v>
      </c>
      <c r="J259" s="371">
        <v>3.5</v>
      </c>
      <c r="K259" s="371">
        <v>3.6</v>
      </c>
      <c r="L259" s="371">
        <v>3.6</v>
      </c>
      <c r="M259" s="371">
        <v>3.6</v>
      </c>
      <c r="N259" s="371">
        <v>3.6</v>
      </c>
      <c r="O259" s="371">
        <v>3.6</v>
      </c>
      <c r="P259" s="371">
        <v>3.6</v>
      </c>
      <c r="Q259" s="371">
        <v>3.6</v>
      </c>
      <c r="R259" s="371">
        <v>3.6</v>
      </c>
      <c r="S259" s="371">
        <v>3.6</v>
      </c>
      <c r="T259" s="371">
        <v>3.6</v>
      </c>
      <c r="U259" s="371">
        <v>3.6</v>
      </c>
      <c r="V259" s="371">
        <v>3.6</v>
      </c>
      <c r="W259" s="371">
        <v>3.6</v>
      </c>
      <c r="X259" s="371">
        <v>3.6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68</v>
      </c>
      <c r="D260" s="373">
        <v>62</v>
      </c>
      <c r="E260" s="373">
        <v>60</v>
      </c>
      <c r="F260" s="373">
        <v>39</v>
      </c>
      <c r="G260" s="373">
        <v>38</v>
      </c>
      <c r="H260" s="373">
        <v>9</v>
      </c>
      <c r="I260" s="373">
        <v>5</v>
      </c>
      <c r="J260" s="373">
        <v>3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117</v>
      </c>
      <c r="B261" s="374">
        <f t="shared" ref="B261:V261" si="88">(C260+B260)*(C259-B259)/2</f>
        <v>1.7000000000000002</v>
      </c>
      <c r="C261" s="375">
        <f t="shared" si="88"/>
        <v>3.25</v>
      </c>
      <c r="D261" s="375">
        <f t="shared" si="88"/>
        <v>9.15</v>
      </c>
      <c r="E261" s="375">
        <f t="shared" si="88"/>
        <v>2.4749999999999996</v>
      </c>
      <c r="F261" s="375">
        <f t="shared" si="88"/>
        <v>1.9249999999999996</v>
      </c>
      <c r="G261" s="375">
        <f t="shared" si="88"/>
        <v>2.350000000000001</v>
      </c>
      <c r="H261" s="375">
        <f t="shared" si="88"/>
        <v>0.70000000000000018</v>
      </c>
      <c r="I261" s="375">
        <f t="shared" si="88"/>
        <v>11.8</v>
      </c>
      <c r="J261" s="375">
        <f t="shared" si="88"/>
        <v>0.15000000000000013</v>
      </c>
      <c r="K261" s="375">
        <f t="shared" si="88"/>
        <v>0</v>
      </c>
      <c r="L261" s="375">
        <f t="shared" si="88"/>
        <v>0</v>
      </c>
      <c r="M261" s="375">
        <f t="shared" si="88"/>
        <v>0</v>
      </c>
      <c r="N261" s="375">
        <f t="shared" si="88"/>
        <v>0</v>
      </c>
      <c r="O261" s="375">
        <f t="shared" si="88"/>
        <v>0</v>
      </c>
      <c r="P261" s="375">
        <f t="shared" si="88"/>
        <v>0</v>
      </c>
      <c r="Q261" s="375">
        <f t="shared" si="88"/>
        <v>0</v>
      </c>
      <c r="R261" s="375">
        <f t="shared" si="88"/>
        <v>0</v>
      </c>
      <c r="S261" s="375">
        <f t="shared" si="88"/>
        <v>0</v>
      </c>
      <c r="T261" s="375">
        <f t="shared" si="88"/>
        <v>0</v>
      </c>
      <c r="U261" s="375">
        <f t="shared" si="88"/>
        <v>0</v>
      </c>
      <c r="V261" s="375">
        <f t="shared" si="88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ht="13.5" thickBo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361" t="s">
        <v>274</v>
      </c>
      <c r="B263" s="359">
        <f>ROW(A263)</f>
        <v>263</v>
      </c>
      <c r="C263" s="363" t="s">
        <v>116</v>
      </c>
      <c r="D263" s="353">
        <f>SUM(B266:Y266)</f>
        <v>145.46</v>
      </c>
      <c r="E263" s="363" t="s">
        <v>115</v>
      </c>
      <c r="F263" s="354">
        <f>D263/g/J263</f>
        <v>211.82466870540264</v>
      </c>
      <c r="G263" s="363" t="s">
        <v>57</v>
      </c>
      <c r="H263" s="64">
        <v>0.22</v>
      </c>
      <c r="I263" s="363" t="s">
        <v>270</v>
      </c>
      <c r="J263" s="355">
        <f>H263-L263</f>
        <v>7.0000000000000007E-2</v>
      </c>
      <c r="K263" s="363" t="s">
        <v>271</v>
      </c>
      <c r="L263" s="64">
        <v>0.15</v>
      </c>
      <c r="M263" s="363" t="s">
        <v>58</v>
      </c>
      <c r="N263" s="65">
        <v>50</v>
      </c>
      <c r="O263" s="363" t="s">
        <v>60</v>
      </c>
      <c r="P263" s="65">
        <v>55</v>
      </c>
      <c r="Q263" s="363" t="s">
        <v>61</v>
      </c>
      <c r="R263" s="65">
        <v>76</v>
      </c>
      <c r="S263" s="363" t="s">
        <v>62</v>
      </c>
      <c r="T263" s="65">
        <v>40</v>
      </c>
      <c r="U263" s="363" t="s">
        <v>55</v>
      </c>
      <c r="V263" s="66" t="s">
        <v>401</v>
      </c>
      <c r="W263" s="12"/>
      <c r="X263" s="12"/>
      <c r="Y263" s="12"/>
    </row>
    <row r="264" spans="1:25" x14ac:dyDescent="0.2">
      <c r="A264" s="362" t="s">
        <v>33</v>
      </c>
      <c r="B264" s="370">
        <v>0</v>
      </c>
      <c r="C264" s="371">
        <v>0.02</v>
      </c>
      <c r="D264" s="371">
        <v>0.04</v>
      </c>
      <c r="E264" s="371">
        <v>0.05</v>
      </c>
      <c r="F264" s="371">
        <v>0.06</v>
      </c>
      <c r="G264" s="371">
        <v>0.94</v>
      </c>
      <c r="H264" s="377">
        <v>0.94200000000000006</v>
      </c>
      <c r="I264" s="371">
        <v>0.95</v>
      </c>
      <c r="J264" s="371">
        <v>0.95</v>
      </c>
      <c r="K264" s="371">
        <v>0.95</v>
      </c>
      <c r="L264" s="371">
        <v>0.95</v>
      </c>
      <c r="M264" s="371">
        <v>0.95</v>
      </c>
      <c r="N264" s="371">
        <v>0.95</v>
      </c>
      <c r="O264" s="371">
        <v>0.95</v>
      </c>
      <c r="P264" s="371">
        <v>0.95</v>
      </c>
      <c r="Q264" s="371">
        <v>0.95</v>
      </c>
      <c r="R264" s="371">
        <v>0.95</v>
      </c>
      <c r="S264" s="371">
        <v>0.95</v>
      </c>
      <c r="T264" s="371">
        <v>0.95</v>
      </c>
      <c r="U264" s="371">
        <v>0.95</v>
      </c>
      <c r="V264" s="371">
        <v>0.95</v>
      </c>
      <c r="W264" s="371">
        <v>0.95</v>
      </c>
      <c r="X264" s="371">
        <v>2</v>
      </c>
      <c r="Y264" s="381">
        <v>1000</v>
      </c>
    </row>
    <row r="265" spans="1:25" x14ac:dyDescent="0.2">
      <c r="A265" s="378" t="s">
        <v>34</v>
      </c>
      <c r="B265" s="372">
        <v>0</v>
      </c>
      <c r="C265" s="373">
        <v>320</v>
      </c>
      <c r="D265" s="373">
        <v>170</v>
      </c>
      <c r="E265" s="373">
        <v>205</v>
      </c>
      <c r="F265" s="373">
        <v>217</v>
      </c>
      <c r="G265" s="373">
        <v>85</v>
      </c>
      <c r="H265" s="373">
        <v>82</v>
      </c>
      <c r="I265" s="373">
        <v>0</v>
      </c>
      <c r="J265" s="373">
        <v>0</v>
      </c>
      <c r="K265" s="373">
        <v>0</v>
      </c>
      <c r="L265" s="373">
        <v>0</v>
      </c>
      <c r="M265" s="373">
        <v>0</v>
      </c>
      <c r="N265" s="373">
        <v>0</v>
      </c>
      <c r="O265" s="373">
        <v>0</v>
      </c>
      <c r="P265" s="373">
        <v>0</v>
      </c>
      <c r="Q265" s="373">
        <v>0</v>
      </c>
      <c r="R265" s="373">
        <v>0</v>
      </c>
      <c r="S265" s="373">
        <v>0</v>
      </c>
      <c r="T265" s="373">
        <v>0</v>
      </c>
      <c r="U265" s="373">
        <v>0</v>
      </c>
      <c r="V265" s="373">
        <v>0</v>
      </c>
      <c r="W265" s="373">
        <v>0</v>
      </c>
      <c r="X265" s="373">
        <v>0</v>
      </c>
      <c r="Y265" s="382">
        <v>0</v>
      </c>
    </row>
    <row r="266" spans="1:25" ht="13.5" thickBot="1" x14ac:dyDescent="0.25">
      <c r="A266" s="379" t="s">
        <v>117</v>
      </c>
      <c r="B266" s="374">
        <f t="shared" ref="B266:H266" si="89">(C265+B265)*(C264-B264)/2</f>
        <v>3.2</v>
      </c>
      <c r="C266" s="375">
        <f t="shared" si="89"/>
        <v>4.9000000000000004</v>
      </c>
      <c r="D266" s="375">
        <f t="shared" si="89"/>
        <v>1.8750000000000004</v>
      </c>
      <c r="E266" s="375">
        <f t="shared" si="89"/>
        <v>2.109999999999999</v>
      </c>
      <c r="F266" s="375">
        <f t="shared" si="89"/>
        <v>132.88</v>
      </c>
      <c r="G266" s="375">
        <f t="shared" si="89"/>
        <v>0.16700000000000942</v>
      </c>
      <c r="H266" s="375">
        <f t="shared" si="89"/>
        <v>0.32799999999999574</v>
      </c>
      <c r="I266" s="375">
        <f t="shared" ref="I266:V266" si="90">(J265+I265)*(J264-I264)/2</f>
        <v>0</v>
      </c>
      <c r="J266" s="375">
        <f>(K265+J265)*(K264-J264)/2</f>
        <v>0</v>
      </c>
      <c r="K266" s="375">
        <f t="shared" si="90"/>
        <v>0</v>
      </c>
      <c r="L266" s="375">
        <f t="shared" si="90"/>
        <v>0</v>
      </c>
      <c r="M266" s="375">
        <f t="shared" si="90"/>
        <v>0</v>
      </c>
      <c r="N266" s="375">
        <f t="shared" si="90"/>
        <v>0</v>
      </c>
      <c r="O266" s="375">
        <f t="shared" si="90"/>
        <v>0</v>
      </c>
      <c r="P266" s="375">
        <f t="shared" si="90"/>
        <v>0</v>
      </c>
      <c r="Q266" s="375">
        <f t="shared" si="90"/>
        <v>0</v>
      </c>
      <c r="R266" s="375">
        <f t="shared" si="90"/>
        <v>0</v>
      </c>
      <c r="S266" s="375">
        <f>(T265+S265)*(T264-S264)/2</f>
        <v>0</v>
      </c>
      <c r="T266" s="375">
        <f t="shared" si="90"/>
        <v>0</v>
      </c>
      <c r="U266" s="375">
        <f t="shared" si="90"/>
        <v>0</v>
      </c>
      <c r="V266" s="375">
        <f t="shared" si="90"/>
        <v>0</v>
      </c>
      <c r="W266" s="375">
        <f>(X265+W265)*(X264-W264)/2</f>
        <v>0</v>
      </c>
      <c r="X266" s="375">
        <f>(Y265+X265)*(Y264-X264)/2</f>
        <v>0</v>
      </c>
      <c r="Y266" s="369"/>
    </row>
    <row r="267" spans="1:25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3.5" thickBot="1" x14ac:dyDescent="0.25">
      <c r="A268" s="6" t="s">
        <v>312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35</v>
      </c>
      <c r="B269" s="359">
        <f>ROW(A269)</f>
        <v>269</v>
      </c>
      <c r="C269" s="363" t="s">
        <v>116</v>
      </c>
      <c r="D269" s="353">
        <f>SUM(B272:Y272)</f>
        <v>1071.5999999999999</v>
      </c>
      <c r="E269" s="363" t="s">
        <v>115</v>
      </c>
      <c r="F269" s="354">
        <f>D269/g/J269</f>
        <v>163.03802090465106</v>
      </c>
      <c r="G269" s="363" t="s">
        <v>57</v>
      </c>
      <c r="H269" s="64">
        <v>2.02</v>
      </c>
      <c r="I269" s="363" t="s">
        <v>270</v>
      </c>
      <c r="J269" s="355">
        <f>H269-L269</f>
        <v>0.66999999999999993</v>
      </c>
      <c r="K269" s="363" t="s">
        <v>271</v>
      </c>
      <c r="L269" s="64">
        <v>1.35</v>
      </c>
      <c r="M269" s="363" t="s">
        <v>58</v>
      </c>
      <c r="N269" s="65">
        <v>154</v>
      </c>
      <c r="O269" s="363" t="s">
        <v>60</v>
      </c>
      <c r="P269" s="65">
        <v>168</v>
      </c>
      <c r="Q269" s="363" t="s">
        <v>61</v>
      </c>
      <c r="R269" s="65">
        <v>230</v>
      </c>
      <c r="S269" s="363" t="s">
        <v>62</v>
      </c>
      <c r="T269" s="65">
        <v>67</v>
      </c>
      <c r="U269" s="363" t="s">
        <v>55</v>
      </c>
      <c r="V269" s="66" t="s">
        <v>119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0.02</v>
      </c>
      <c r="D270" s="371">
        <v>0.05</v>
      </c>
      <c r="E270" s="371">
        <v>0.06</v>
      </c>
      <c r="F270" s="371">
        <v>0.09</v>
      </c>
      <c r="G270" s="371">
        <v>0.17</v>
      </c>
      <c r="H270" s="371">
        <v>0.2</v>
      </c>
      <c r="I270" s="371">
        <v>0.38</v>
      </c>
      <c r="J270" s="371">
        <v>0.75</v>
      </c>
      <c r="K270" s="371">
        <v>0.79</v>
      </c>
      <c r="L270" s="371">
        <v>1.1299999999999999</v>
      </c>
      <c r="M270" s="371">
        <v>1.2</v>
      </c>
      <c r="N270" s="371">
        <v>1.5</v>
      </c>
      <c r="O270" s="371">
        <v>1.54</v>
      </c>
      <c r="P270" s="371">
        <v>1.65</v>
      </c>
      <c r="Q270" s="371">
        <v>1.7</v>
      </c>
      <c r="R270" s="371">
        <v>1.79</v>
      </c>
      <c r="S270" s="371">
        <v>1.79</v>
      </c>
      <c r="T270" s="371">
        <v>1.79</v>
      </c>
      <c r="U270" s="371">
        <v>1.79</v>
      </c>
      <c r="V270" s="371">
        <v>1.79</v>
      </c>
      <c r="W270" s="371">
        <v>1.79</v>
      </c>
      <c r="X270" s="371">
        <v>1.79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20</v>
      </c>
      <c r="D271" s="373">
        <v>870</v>
      </c>
      <c r="E271" s="373">
        <v>530</v>
      </c>
      <c r="F271" s="373">
        <v>790</v>
      </c>
      <c r="G271" s="373">
        <v>700</v>
      </c>
      <c r="H271" s="373">
        <v>710</v>
      </c>
      <c r="I271" s="373">
        <v>670</v>
      </c>
      <c r="J271" s="373">
        <v>630</v>
      </c>
      <c r="K271" s="373">
        <v>630</v>
      </c>
      <c r="L271" s="373">
        <v>710</v>
      </c>
      <c r="M271" s="373">
        <v>690</v>
      </c>
      <c r="N271" s="373">
        <v>690</v>
      </c>
      <c r="O271" s="373">
        <v>660</v>
      </c>
      <c r="P271" s="373">
        <v>160</v>
      </c>
      <c r="Q271" s="373">
        <v>10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117</v>
      </c>
      <c r="B272" s="374">
        <f t="shared" ref="B272:Q272" si="91">(C271+B271)*(C270-B270)/2</f>
        <v>0.2</v>
      </c>
      <c r="C272" s="375">
        <f t="shared" si="91"/>
        <v>13.350000000000001</v>
      </c>
      <c r="D272" s="375">
        <f t="shared" si="91"/>
        <v>6.9999999999999964</v>
      </c>
      <c r="E272" s="375">
        <f t="shared" si="91"/>
        <v>19.8</v>
      </c>
      <c r="F272" s="375">
        <f t="shared" si="91"/>
        <v>59.600000000000009</v>
      </c>
      <c r="G272" s="375">
        <f t="shared" si="91"/>
        <v>21.15</v>
      </c>
      <c r="H272" s="375">
        <f t="shared" si="91"/>
        <v>124.19999999999999</v>
      </c>
      <c r="I272" s="375">
        <f t="shared" si="91"/>
        <v>240.5</v>
      </c>
      <c r="J272" s="375">
        <f>(K271+J271)*(K270-J270)/2</f>
        <v>25.200000000000024</v>
      </c>
      <c r="K272" s="375">
        <f t="shared" si="91"/>
        <v>227.7999999999999</v>
      </c>
      <c r="L272" s="375">
        <f t="shared" si="91"/>
        <v>49.000000000000043</v>
      </c>
      <c r="M272" s="375">
        <f t="shared" si="91"/>
        <v>207.00000000000003</v>
      </c>
      <c r="N272" s="375">
        <f t="shared" si="91"/>
        <v>27.000000000000025</v>
      </c>
      <c r="O272" s="375">
        <f t="shared" si="91"/>
        <v>45.099999999999952</v>
      </c>
      <c r="P272" s="375">
        <f t="shared" si="91"/>
        <v>4.2500000000000036</v>
      </c>
      <c r="Q272" s="375">
        <f t="shared" si="91"/>
        <v>0.4500000000000004</v>
      </c>
      <c r="R272" s="375">
        <f t="shared" ref="R272:X272" si="92">(S271+R271)*(S270-R270)/2</f>
        <v>0</v>
      </c>
      <c r="S272" s="375">
        <f t="shared" si="92"/>
        <v>0</v>
      </c>
      <c r="T272" s="375">
        <f t="shared" si="92"/>
        <v>0</v>
      </c>
      <c r="U272" s="375">
        <f t="shared" si="92"/>
        <v>0</v>
      </c>
      <c r="V272" s="375">
        <f t="shared" si="92"/>
        <v>0</v>
      </c>
      <c r="W272" s="375">
        <f t="shared" si="92"/>
        <v>0</v>
      </c>
      <c r="X272" s="375">
        <f t="shared" si="92"/>
        <v>0</v>
      </c>
      <c r="Y272" s="383"/>
    </row>
    <row r="273" spans="1:25" ht="13.5" thickBot="1" x14ac:dyDescent="0.25">
      <c r="S273" s="12"/>
      <c r="T273" s="12"/>
      <c r="U273" s="12"/>
      <c r="V273" s="12"/>
      <c r="W273" s="12"/>
      <c r="X273" s="12"/>
      <c r="Y273" s="12"/>
    </row>
    <row r="274" spans="1:25" ht="13.5" thickBot="1" x14ac:dyDescent="0.25">
      <c r="A274" s="361" t="s">
        <v>36</v>
      </c>
      <c r="B274" s="359">
        <f>ROW(A274)</f>
        <v>274</v>
      </c>
      <c r="C274" s="363" t="s">
        <v>116</v>
      </c>
      <c r="D274" s="353">
        <f>SUM(B277:Y277)</f>
        <v>2102.35</v>
      </c>
      <c r="E274" s="363" t="s">
        <v>115</v>
      </c>
      <c r="F274" s="354">
        <f>D274/g/J274</f>
        <v>174.23319493133766</v>
      </c>
      <c r="G274" s="363" t="s">
        <v>57</v>
      </c>
      <c r="H274" s="64">
        <v>3.7</v>
      </c>
      <c r="I274" s="363" t="s">
        <v>270</v>
      </c>
      <c r="J274" s="355">
        <f>H274-L274</f>
        <v>1.23</v>
      </c>
      <c r="K274" s="363" t="s">
        <v>271</v>
      </c>
      <c r="L274" s="64">
        <v>2.4700000000000002</v>
      </c>
      <c r="M274" s="363" t="s">
        <v>58</v>
      </c>
      <c r="N274" s="65">
        <v>151</v>
      </c>
      <c r="O274" s="363" t="s">
        <v>60</v>
      </c>
      <c r="P274" s="65">
        <v>171</v>
      </c>
      <c r="Q274" s="363" t="s">
        <v>61</v>
      </c>
      <c r="R274" s="65">
        <v>247</v>
      </c>
      <c r="S274" s="363" t="s">
        <v>62</v>
      </c>
      <c r="T274" s="65">
        <v>90</v>
      </c>
      <c r="U274" s="363" t="s">
        <v>55</v>
      </c>
      <c r="V274" s="66" t="s">
        <v>119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0.1</v>
      </c>
      <c r="E275" s="371">
        <v>1</v>
      </c>
      <c r="F275" s="371">
        <v>1.35</v>
      </c>
      <c r="G275" s="371">
        <v>1.75</v>
      </c>
      <c r="H275" s="371">
        <v>2.15</v>
      </c>
      <c r="I275" s="371">
        <v>2.25</v>
      </c>
      <c r="J275" s="371">
        <v>2.48</v>
      </c>
      <c r="K275" s="371">
        <v>2.6</v>
      </c>
      <c r="L275" s="371">
        <v>2.8</v>
      </c>
      <c r="M275" s="371">
        <v>2.8</v>
      </c>
      <c r="N275" s="371">
        <v>2.8</v>
      </c>
      <c r="O275" s="371">
        <v>2.8</v>
      </c>
      <c r="P275" s="371">
        <v>2.8</v>
      </c>
      <c r="Q275" s="371">
        <v>2.8</v>
      </c>
      <c r="R275" s="371">
        <v>2.8</v>
      </c>
      <c r="S275" s="371">
        <v>2.8</v>
      </c>
      <c r="T275" s="371">
        <v>2.8</v>
      </c>
      <c r="U275" s="371">
        <v>2.8</v>
      </c>
      <c r="V275" s="371">
        <v>2.8</v>
      </c>
      <c r="W275" s="371">
        <v>2.8</v>
      </c>
      <c r="X275" s="371">
        <v>2.8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860</v>
      </c>
      <c r="D276" s="373">
        <v>840</v>
      </c>
      <c r="E276" s="373">
        <v>840</v>
      </c>
      <c r="F276" s="373">
        <v>850</v>
      </c>
      <c r="G276" s="373">
        <v>900</v>
      </c>
      <c r="H276" s="373">
        <v>1050</v>
      </c>
      <c r="I276" s="373">
        <v>1020</v>
      </c>
      <c r="J276" s="373">
        <v>120</v>
      </c>
      <c r="K276" s="373">
        <v>30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79" t="s">
        <v>117</v>
      </c>
      <c r="B277" s="374">
        <f t="shared" ref="B277:K277" si="93">(C276+B276)*(C275-B275)/2</f>
        <v>21.5</v>
      </c>
      <c r="C277" s="375">
        <f t="shared" si="93"/>
        <v>42.5</v>
      </c>
      <c r="D277" s="375">
        <f t="shared" si="93"/>
        <v>756</v>
      </c>
      <c r="E277" s="375">
        <f t="shared" si="93"/>
        <v>295.75000000000006</v>
      </c>
      <c r="F277" s="375">
        <f t="shared" si="93"/>
        <v>349.99999999999994</v>
      </c>
      <c r="G277" s="375">
        <f t="shared" si="93"/>
        <v>389.99999999999989</v>
      </c>
      <c r="H277" s="375">
        <f t="shared" si="93"/>
        <v>103.50000000000009</v>
      </c>
      <c r="I277" s="375">
        <f t="shared" si="93"/>
        <v>131.1</v>
      </c>
      <c r="J277" s="375">
        <f>(K276+J276)*(K275-J275)/2</f>
        <v>9.0000000000000071</v>
      </c>
      <c r="K277" s="375">
        <f t="shared" si="93"/>
        <v>2.999999999999996</v>
      </c>
      <c r="L277" s="375">
        <f t="shared" ref="L277:V277" si="94">(M276+L276)*(M275-L275)/2</f>
        <v>0</v>
      </c>
      <c r="M277" s="375">
        <f t="shared" si="94"/>
        <v>0</v>
      </c>
      <c r="N277" s="375">
        <f t="shared" si="94"/>
        <v>0</v>
      </c>
      <c r="O277" s="375">
        <f t="shared" si="94"/>
        <v>0</v>
      </c>
      <c r="P277" s="375">
        <f t="shared" si="94"/>
        <v>0</v>
      </c>
      <c r="Q277" s="375">
        <f t="shared" si="94"/>
        <v>0</v>
      </c>
      <c r="R277" s="375">
        <f t="shared" si="94"/>
        <v>0</v>
      </c>
      <c r="S277" s="375">
        <f>(T276+S276)*(T275-S275)/2</f>
        <v>0</v>
      </c>
      <c r="T277" s="375">
        <f t="shared" si="94"/>
        <v>0</v>
      </c>
      <c r="U277" s="375">
        <f t="shared" si="94"/>
        <v>0</v>
      </c>
      <c r="V277" s="375">
        <f t="shared" si="94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/>
    <row r="279" spans="1:25" ht="13.5" thickBot="1" x14ac:dyDescent="0.25">
      <c r="A279" s="361" t="s">
        <v>550</v>
      </c>
      <c r="B279" s="359">
        <f>ROW(A279)</f>
        <v>279</v>
      </c>
      <c r="C279" s="363" t="s">
        <v>116</v>
      </c>
      <c r="D279" s="353">
        <f>SUM(B282:Y282)</f>
        <v>2058.37</v>
      </c>
      <c r="E279" s="363" t="s">
        <v>115</v>
      </c>
      <c r="F279" s="354">
        <f>D279/g/J279</f>
        <v>203.12066731598335</v>
      </c>
      <c r="G279" s="363" t="s">
        <v>57</v>
      </c>
      <c r="H279" s="64">
        <v>1.6850000000000001</v>
      </c>
      <c r="I279" s="363" t="s">
        <v>270</v>
      </c>
      <c r="J279" s="355">
        <f>H279-L279</f>
        <v>1.0329999999999999</v>
      </c>
      <c r="K279" s="363" t="s">
        <v>271</v>
      </c>
      <c r="L279" s="64">
        <v>0.65200000000000002</v>
      </c>
      <c r="M279" s="363" t="s">
        <v>58</v>
      </c>
      <c r="N279" s="65">
        <v>250</v>
      </c>
      <c r="O279" s="363" t="s">
        <v>60</v>
      </c>
      <c r="P279" s="65">
        <v>240</v>
      </c>
      <c r="Q279" s="363" t="s">
        <v>61</v>
      </c>
      <c r="R279" s="65">
        <v>488</v>
      </c>
      <c r="S279" s="363" t="s">
        <v>62</v>
      </c>
      <c r="T279" s="65">
        <v>54</v>
      </c>
      <c r="U279" s="363" t="s">
        <v>55</v>
      </c>
      <c r="V279" s="66" t="s">
        <v>119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0.05</v>
      </c>
      <c r="D280" s="371">
        <v>0.5</v>
      </c>
      <c r="E280" s="371">
        <v>1</v>
      </c>
      <c r="F280" s="371">
        <v>1.5</v>
      </c>
      <c r="G280" s="371">
        <v>2</v>
      </c>
      <c r="H280" s="371">
        <v>2.5</v>
      </c>
      <c r="I280" s="371">
        <v>2.97</v>
      </c>
      <c r="J280" s="371">
        <v>3.2</v>
      </c>
      <c r="K280" s="371">
        <v>3.47</v>
      </c>
      <c r="L280" s="371">
        <v>3.59</v>
      </c>
      <c r="M280" s="371">
        <v>3.59</v>
      </c>
      <c r="N280" s="371">
        <v>3.59</v>
      </c>
      <c r="O280" s="371">
        <v>3.59</v>
      </c>
      <c r="P280" s="371">
        <v>3.59</v>
      </c>
      <c r="Q280" s="371">
        <v>3.59</v>
      </c>
      <c r="R280" s="371">
        <v>3.59</v>
      </c>
      <c r="S280" s="371">
        <v>3.59</v>
      </c>
      <c r="T280" s="371">
        <v>3.59</v>
      </c>
      <c r="U280" s="371">
        <v>3.59</v>
      </c>
      <c r="V280" s="371">
        <v>3.59</v>
      </c>
      <c r="W280" s="371">
        <v>3.59</v>
      </c>
      <c r="X280" s="371">
        <v>3.59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893</v>
      </c>
      <c r="D281" s="373">
        <v>798</v>
      </c>
      <c r="E281" s="373">
        <v>739</v>
      </c>
      <c r="F281" s="373">
        <v>659</v>
      </c>
      <c r="G281" s="373">
        <v>586</v>
      </c>
      <c r="H281" s="373">
        <v>513</v>
      </c>
      <c r="I281" s="373">
        <v>417</v>
      </c>
      <c r="J281" s="373">
        <v>225</v>
      </c>
      <c r="K281" s="373">
        <v>67</v>
      </c>
      <c r="L281" s="373">
        <v>0</v>
      </c>
      <c r="M281" s="373">
        <v>0</v>
      </c>
      <c r="N281" s="373">
        <v>0</v>
      </c>
      <c r="O281" s="373">
        <v>0</v>
      </c>
      <c r="P281" s="373">
        <v>0</v>
      </c>
      <c r="Q281" s="373">
        <v>0</v>
      </c>
      <c r="R281" s="373">
        <v>0</v>
      </c>
      <c r="S281" s="373">
        <v>0</v>
      </c>
      <c r="T281" s="373">
        <v>0</v>
      </c>
      <c r="U281" s="373">
        <v>0</v>
      </c>
      <c r="V281" s="373">
        <v>0</v>
      </c>
      <c r="W281" s="373">
        <v>0</v>
      </c>
      <c r="X281" s="373">
        <v>0</v>
      </c>
      <c r="Y281" s="382">
        <v>0</v>
      </c>
    </row>
    <row r="282" spans="1:25" ht="13.5" thickBot="1" x14ac:dyDescent="0.25">
      <c r="A282" s="380" t="s">
        <v>117</v>
      </c>
      <c r="B282" s="374">
        <f t="shared" ref="B282:V282" si="95">(C281+B281)*(C280-B280)/2</f>
        <v>22.325000000000003</v>
      </c>
      <c r="C282" s="375">
        <f t="shared" si="95"/>
        <v>380.47500000000002</v>
      </c>
      <c r="D282" s="375">
        <f t="shared" si="95"/>
        <v>384.25</v>
      </c>
      <c r="E282" s="375">
        <f t="shared" si="95"/>
        <v>349.5</v>
      </c>
      <c r="F282" s="375">
        <f t="shared" si="95"/>
        <v>311.25</v>
      </c>
      <c r="G282" s="375">
        <f t="shared" si="95"/>
        <v>274.75</v>
      </c>
      <c r="H282" s="375">
        <f t="shared" si="95"/>
        <v>218.5500000000001</v>
      </c>
      <c r="I282" s="375">
        <f t="shared" si="95"/>
        <v>73.83</v>
      </c>
      <c r="J282" s="375">
        <f>(K281+J281)*(K280-J280)/2</f>
        <v>39.42</v>
      </c>
      <c r="K282" s="375">
        <f t="shared" si="95"/>
        <v>4.0199999999999889</v>
      </c>
      <c r="L282" s="375">
        <f t="shared" si="95"/>
        <v>0</v>
      </c>
      <c r="M282" s="375">
        <f t="shared" si="95"/>
        <v>0</v>
      </c>
      <c r="N282" s="375">
        <f t="shared" si="95"/>
        <v>0</v>
      </c>
      <c r="O282" s="375">
        <f t="shared" si="95"/>
        <v>0</v>
      </c>
      <c r="P282" s="375">
        <f t="shared" si="95"/>
        <v>0</v>
      </c>
      <c r="Q282" s="375">
        <f t="shared" si="95"/>
        <v>0</v>
      </c>
      <c r="R282" s="375">
        <f t="shared" si="95"/>
        <v>0</v>
      </c>
      <c r="S282" s="375">
        <f>(T281+S281)*(T280-S280)/2</f>
        <v>0</v>
      </c>
      <c r="T282" s="375">
        <f t="shared" si="95"/>
        <v>0</v>
      </c>
      <c r="U282" s="375">
        <f t="shared" si="95"/>
        <v>0</v>
      </c>
      <c r="V282" s="375">
        <f t="shared" si="95"/>
        <v>0</v>
      </c>
      <c r="W282" s="375">
        <f>(X281+W281)*(X280-W280)/2</f>
        <v>0</v>
      </c>
      <c r="X282" s="375">
        <f>(Y281+X281)*(Y280-X280)/2</f>
        <v>0</v>
      </c>
      <c r="Y282" s="369"/>
    </row>
    <row r="283" spans="1:25" ht="13.5" thickBo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37</v>
      </c>
      <c r="B284" s="359">
        <f>ROW(A284)</f>
        <v>284</v>
      </c>
      <c r="C284" s="363" t="s">
        <v>116</v>
      </c>
      <c r="D284" s="353">
        <f>SUM(B287:Y287)</f>
        <v>2486.041999999999</v>
      </c>
      <c r="E284" s="363" t="s">
        <v>115</v>
      </c>
      <c r="F284" s="354">
        <f>D284/g/J284</f>
        <v>199.54264891200521</v>
      </c>
      <c r="G284" s="363" t="s">
        <v>57</v>
      </c>
      <c r="H284" s="64">
        <v>2.59</v>
      </c>
      <c r="I284" s="363" t="s">
        <v>270</v>
      </c>
      <c r="J284" s="355">
        <f>H284-L284</f>
        <v>1.2699999999999998</v>
      </c>
      <c r="K284" s="363" t="s">
        <v>271</v>
      </c>
      <c r="L284" s="64">
        <v>1.32</v>
      </c>
      <c r="M284" s="363" t="s">
        <v>58</v>
      </c>
      <c r="N284" s="65">
        <v>175</v>
      </c>
      <c r="O284" s="363" t="s">
        <v>60</v>
      </c>
      <c r="P284" s="65">
        <v>175</v>
      </c>
      <c r="Q284" s="363" t="s">
        <v>61</v>
      </c>
      <c r="R284" s="65">
        <v>350</v>
      </c>
      <c r="S284" s="363" t="s">
        <v>62</v>
      </c>
      <c r="T284" s="65">
        <v>75</v>
      </c>
      <c r="U284" s="363" t="s">
        <v>55</v>
      </c>
      <c r="V284" s="66" t="s">
        <v>119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0.04</v>
      </c>
      <c r="D285" s="371">
        <v>7.0000000000000007E-2</v>
      </c>
      <c r="E285" s="371">
        <v>0.1</v>
      </c>
      <c r="F285" s="371">
        <v>0.21</v>
      </c>
      <c r="G285" s="371">
        <v>0.35</v>
      </c>
      <c r="H285" s="371">
        <v>0.53</v>
      </c>
      <c r="I285" s="371">
        <v>0.82</v>
      </c>
      <c r="J285" s="371">
        <v>1.18</v>
      </c>
      <c r="K285" s="371">
        <v>1.72</v>
      </c>
      <c r="L285" s="371">
        <v>2.15</v>
      </c>
      <c r="M285" s="371">
        <v>2.39</v>
      </c>
      <c r="N285" s="371">
        <v>2.9</v>
      </c>
      <c r="O285" s="371">
        <v>3.07</v>
      </c>
      <c r="P285" s="371">
        <v>3.56</v>
      </c>
      <c r="Q285" s="371">
        <v>3.98</v>
      </c>
      <c r="R285" s="371">
        <v>4.32</v>
      </c>
      <c r="S285" s="371">
        <v>4.4800000000000004</v>
      </c>
      <c r="T285" s="371">
        <v>4.5999999999999996</v>
      </c>
      <c r="U285" s="371">
        <v>4.6500000000000004</v>
      </c>
      <c r="V285" s="371">
        <v>4.8</v>
      </c>
      <c r="W285" s="371">
        <v>4.83</v>
      </c>
      <c r="X285" s="371">
        <v>4.84</v>
      </c>
      <c r="Y285" s="381">
        <v>1000</v>
      </c>
    </row>
    <row r="286" spans="1:25" x14ac:dyDescent="0.2">
      <c r="A286" s="378" t="s">
        <v>34</v>
      </c>
      <c r="B286" s="372">
        <v>0</v>
      </c>
      <c r="C286" s="373">
        <v>394.4</v>
      </c>
      <c r="D286" s="373">
        <v>617.70000000000005</v>
      </c>
      <c r="E286" s="373">
        <v>645.1</v>
      </c>
      <c r="F286" s="373">
        <v>658.2</v>
      </c>
      <c r="G286" s="373">
        <v>669.2</v>
      </c>
      <c r="H286" s="373">
        <v>667.7</v>
      </c>
      <c r="I286" s="373">
        <v>661.6</v>
      </c>
      <c r="J286" s="373">
        <v>626.9</v>
      </c>
      <c r="K286" s="373">
        <v>588.5</v>
      </c>
      <c r="L286" s="373">
        <v>557.70000000000005</v>
      </c>
      <c r="M286" s="373">
        <v>542.29999999999995</v>
      </c>
      <c r="N286" s="373">
        <v>492.9</v>
      </c>
      <c r="O286" s="373">
        <v>470.3</v>
      </c>
      <c r="P286" s="373">
        <v>426.8</v>
      </c>
      <c r="Q286" s="373">
        <v>399</v>
      </c>
      <c r="R286" s="373">
        <v>394</v>
      </c>
      <c r="S286" s="373">
        <v>380.6</v>
      </c>
      <c r="T286" s="373">
        <v>364.2</v>
      </c>
      <c r="U286" s="373">
        <v>290.89999999999998</v>
      </c>
      <c r="V286" s="373">
        <v>91.2</v>
      </c>
      <c r="W286" s="373">
        <v>45.8</v>
      </c>
      <c r="X286" s="373">
        <v>0</v>
      </c>
      <c r="Y286" s="382">
        <v>0</v>
      </c>
    </row>
    <row r="287" spans="1:25" ht="13.5" thickBot="1" x14ac:dyDescent="0.25">
      <c r="A287" s="379" t="s">
        <v>117</v>
      </c>
      <c r="B287" s="374">
        <f t="shared" ref="B287:V287" si="96">(C286+B286)*(C285-B285)/2</f>
        <v>7.8879999999999999</v>
      </c>
      <c r="C287" s="375">
        <f t="shared" si="96"/>
        <v>15.181500000000003</v>
      </c>
      <c r="D287" s="375">
        <f t="shared" si="96"/>
        <v>18.942000000000004</v>
      </c>
      <c r="E287" s="375">
        <f t="shared" si="96"/>
        <v>71.6815</v>
      </c>
      <c r="F287" s="375">
        <f t="shared" si="96"/>
        <v>92.917999999999992</v>
      </c>
      <c r="G287" s="375">
        <f t="shared" si="96"/>
        <v>120.32100000000004</v>
      </c>
      <c r="H287" s="375">
        <f t="shared" si="96"/>
        <v>192.74849999999998</v>
      </c>
      <c r="I287" s="375">
        <f t="shared" si="96"/>
        <v>231.92999999999998</v>
      </c>
      <c r="J287" s="375">
        <f>(K286+J286)*(K285-J285)/2</f>
        <v>328.15800000000007</v>
      </c>
      <c r="K287" s="375">
        <f t="shared" si="96"/>
        <v>246.43299999999996</v>
      </c>
      <c r="L287" s="375">
        <f t="shared" si="96"/>
        <v>132.00000000000011</v>
      </c>
      <c r="M287" s="375">
        <f t="shared" si="96"/>
        <v>263.97599999999983</v>
      </c>
      <c r="N287" s="375">
        <f t="shared" si="96"/>
        <v>81.871999999999971</v>
      </c>
      <c r="O287" s="375">
        <f t="shared" si="96"/>
        <v>219.78950000000009</v>
      </c>
      <c r="P287" s="375">
        <f t="shared" si="96"/>
        <v>173.41799999999995</v>
      </c>
      <c r="Q287" s="375">
        <f t="shared" si="96"/>
        <v>134.81000000000012</v>
      </c>
      <c r="R287" s="375">
        <f t="shared" si="96"/>
        <v>61.96800000000006</v>
      </c>
      <c r="S287" s="375">
        <f>(T286+S286)*(T285-S285)/2</f>
        <v>44.687999999999704</v>
      </c>
      <c r="T287" s="375">
        <f t="shared" si="96"/>
        <v>16.377500000000232</v>
      </c>
      <c r="U287" s="375">
        <f t="shared" si="96"/>
        <v>28.657499999999896</v>
      </c>
      <c r="V287" s="375">
        <f t="shared" si="96"/>
        <v>2.055000000000017</v>
      </c>
      <c r="W287" s="375">
        <f>(X286+W286)*(X285-W285)/2</f>
        <v>0.2289999999999951</v>
      </c>
      <c r="X287" s="375">
        <f>(Y286+X286)*(Y285-X285)/2</f>
        <v>0</v>
      </c>
      <c r="Y287" s="369"/>
    </row>
    <row r="288" spans="1:25" ht="13.5" thickBot="1" x14ac:dyDescent="0.25">
      <c r="A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551</v>
      </c>
      <c r="B289" s="359">
        <f>ROW(A289)</f>
        <v>289</v>
      </c>
      <c r="C289" s="363" t="s">
        <v>116</v>
      </c>
      <c r="D289" s="353">
        <f>SUM(B292:Y292)</f>
        <v>3739.0284999999994</v>
      </c>
      <c r="E289" s="363" t="s">
        <v>115</v>
      </c>
      <c r="F289" s="354">
        <f>D289/g/J289</f>
        <v>203.4941790441234</v>
      </c>
      <c r="G289" s="363" t="s">
        <v>57</v>
      </c>
      <c r="H289" s="64">
        <v>3.5110000000000001</v>
      </c>
      <c r="I289" s="363" t="s">
        <v>270</v>
      </c>
      <c r="J289" s="355">
        <f>H289-L289</f>
        <v>1.8730000000000002</v>
      </c>
      <c r="K289" s="363" t="s">
        <v>271</v>
      </c>
      <c r="L289" s="64">
        <v>1.6379999999999999</v>
      </c>
      <c r="M289" s="363" t="s">
        <v>58</v>
      </c>
      <c r="N289" s="65">
        <v>243</v>
      </c>
      <c r="O289" s="363" t="s">
        <v>60</v>
      </c>
      <c r="P289" s="65">
        <v>243</v>
      </c>
      <c r="Q289" s="363" t="s">
        <v>61</v>
      </c>
      <c r="R289" s="65">
        <v>486</v>
      </c>
      <c r="S289" s="363" t="s">
        <v>62</v>
      </c>
      <c r="T289" s="65">
        <v>75</v>
      </c>
      <c r="U289" s="363" t="s">
        <v>55</v>
      </c>
      <c r="V289" s="66" t="s">
        <v>119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0.01</v>
      </c>
      <c r="D290" s="371">
        <v>0.1</v>
      </c>
      <c r="E290" s="371">
        <v>0.12</v>
      </c>
      <c r="F290" s="371">
        <v>0.26</v>
      </c>
      <c r="G290" s="371">
        <v>0.71</v>
      </c>
      <c r="H290" s="371">
        <v>1.28</v>
      </c>
      <c r="I290" s="371">
        <v>2.0499999999999998</v>
      </c>
      <c r="J290" s="371">
        <v>2.41</v>
      </c>
      <c r="K290" s="371">
        <v>2.83</v>
      </c>
      <c r="L290" s="371">
        <v>3.25</v>
      </c>
      <c r="M290" s="371">
        <v>3.65</v>
      </c>
      <c r="N290" s="371">
        <v>3.8</v>
      </c>
      <c r="O290" s="371">
        <v>4</v>
      </c>
      <c r="P290" s="371">
        <v>4.0999999999999996</v>
      </c>
      <c r="Q290" s="371">
        <v>4.1900000000000004</v>
      </c>
      <c r="R290" s="371">
        <v>4.3099999999999996</v>
      </c>
      <c r="S290" s="371">
        <v>4.41</v>
      </c>
      <c r="T290" s="371">
        <v>4.5199999999999996</v>
      </c>
      <c r="U290" s="371">
        <v>4.5999999999999996</v>
      </c>
      <c r="V290" s="371">
        <v>4.6500000000000004</v>
      </c>
      <c r="W290" s="371">
        <v>4.67</v>
      </c>
      <c r="X290" s="371">
        <v>4.68</v>
      </c>
      <c r="Y290" s="381">
        <v>1000</v>
      </c>
    </row>
    <row r="291" spans="1:25" x14ac:dyDescent="0.2">
      <c r="A291" s="378" t="s">
        <v>34</v>
      </c>
      <c r="B291" s="372">
        <v>27</v>
      </c>
      <c r="C291" s="373">
        <v>402.4</v>
      </c>
      <c r="D291" s="373">
        <v>1286</v>
      </c>
      <c r="E291" s="373">
        <v>1257</v>
      </c>
      <c r="F291" s="373">
        <v>1042</v>
      </c>
      <c r="G291" s="373">
        <v>1027</v>
      </c>
      <c r="H291" s="373">
        <v>998.4</v>
      </c>
      <c r="I291" s="373">
        <v>901.4</v>
      </c>
      <c r="J291" s="373">
        <v>849.6</v>
      </c>
      <c r="K291" s="373">
        <v>763.5</v>
      </c>
      <c r="L291" s="373">
        <v>707.1</v>
      </c>
      <c r="M291" s="373">
        <v>655.1</v>
      </c>
      <c r="N291" s="373">
        <v>651.70000000000005</v>
      </c>
      <c r="O291" s="373">
        <v>624.1</v>
      </c>
      <c r="P291" s="373">
        <v>601.29999999999995</v>
      </c>
      <c r="Q291" s="373">
        <v>536.20000000000005</v>
      </c>
      <c r="R291" s="373">
        <v>415.7</v>
      </c>
      <c r="S291" s="373">
        <v>270.2</v>
      </c>
      <c r="T291" s="373">
        <v>140.19999999999999</v>
      </c>
      <c r="U291" s="373">
        <v>76.900000000000006</v>
      </c>
      <c r="V291" s="373">
        <v>54.9</v>
      </c>
      <c r="W291" s="373">
        <v>40.200000000000003</v>
      </c>
      <c r="X291" s="373">
        <v>0</v>
      </c>
      <c r="Y291" s="382">
        <v>0</v>
      </c>
    </row>
    <row r="292" spans="1:25" ht="13.5" thickBot="1" x14ac:dyDescent="0.25">
      <c r="A292" s="379" t="s">
        <v>117</v>
      </c>
      <c r="B292" s="374">
        <f t="shared" ref="B292:V292" si="97">(C291+B291)*(C290-B290)/2</f>
        <v>2.1469999999999998</v>
      </c>
      <c r="C292" s="375">
        <f t="shared" si="97"/>
        <v>75.978000000000009</v>
      </c>
      <c r="D292" s="375">
        <f t="shared" si="97"/>
        <v>25.429999999999989</v>
      </c>
      <c r="E292" s="375">
        <f t="shared" si="97"/>
        <v>160.93</v>
      </c>
      <c r="F292" s="375">
        <f t="shared" si="97"/>
        <v>465.52499999999998</v>
      </c>
      <c r="G292" s="375">
        <f t="shared" si="97"/>
        <v>577.23900000000003</v>
      </c>
      <c r="H292" s="375">
        <f t="shared" si="97"/>
        <v>731.42299999999977</v>
      </c>
      <c r="I292" s="375">
        <f t="shared" si="97"/>
        <v>315.18000000000029</v>
      </c>
      <c r="J292" s="375">
        <f>(K291+J291)*(K290-J290)/2</f>
        <v>338.75099999999992</v>
      </c>
      <c r="K292" s="375">
        <f t="shared" si="97"/>
        <v>308.82599999999991</v>
      </c>
      <c r="L292" s="375">
        <f t="shared" si="97"/>
        <v>272.43999999999994</v>
      </c>
      <c r="M292" s="375">
        <f t="shared" si="97"/>
        <v>98.009999999999962</v>
      </c>
      <c r="N292" s="375">
        <f t="shared" si="97"/>
        <v>127.58000000000013</v>
      </c>
      <c r="O292" s="375">
        <f t="shared" si="97"/>
        <v>61.26999999999979</v>
      </c>
      <c r="P292" s="375">
        <f t="shared" si="97"/>
        <v>51.187500000000426</v>
      </c>
      <c r="Q292" s="375">
        <f t="shared" si="97"/>
        <v>57.113999999999635</v>
      </c>
      <c r="R292" s="375">
        <f t="shared" si="97"/>
        <v>34.295000000000179</v>
      </c>
      <c r="S292" s="375">
        <f>(T291+S291)*(T290-S290)/2</f>
        <v>22.571999999999882</v>
      </c>
      <c r="T292" s="375">
        <f t="shared" si="97"/>
        <v>8.6840000000000082</v>
      </c>
      <c r="U292" s="375">
        <f t="shared" si="97"/>
        <v>3.295000000000047</v>
      </c>
      <c r="V292" s="375">
        <f t="shared" si="97"/>
        <v>0.95099999999997964</v>
      </c>
      <c r="W292" s="375">
        <f>(X291+W291)*(X290-W290)/2</f>
        <v>0.20099999999999574</v>
      </c>
      <c r="X292" s="375">
        <f>(Y291+X291)*(Y290-X290)/2</f>
        <v>0</v>
      </c>
      <c r="Y292" s="369"/>
    </row>
    <row r="293" spans="1:25" ht="13.5" thickBo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317</v>
      </c>
      <c r="B294" s="359">
        <f>ROW(A294)</f>
        <v>294</v>
      </c>
      <c r="C294" s="363" t="s">
        <v>116</v>
      </c>
      <c r="D294" s="353">
        <f>SUM(B297:Y297)</f>
        <v>5322.2813159999996</v>
      </c>
      <c r="E294" s="363" t="s">
        <v>115</v>
      </c>
      <c r="F294" s="354">
        <f>D294/g/J294</f>
        <v>210.04116210318938</v>
      </c>
      <c r="G294" s="363" t="s">
        <v>57</v>
      </c>
      <c r="H294" s="64">
        <v>4.9770000000000003</v>
      </c>
      <c r="I294" s="363" t="s">
        <v>270</v>
      </c>
      <c r="J294" s="355">
        <f>H294-L294</f>
        <v>2.5830000000000002</v>
      </c>
      <c r="K294" s="363" t="s">
        <v>271</v>
      </c>
      <c r="L294" s="64">
        <v>2.3940000000000001</v>
      </c>
      <c r="M294" s="363" t="s">
        <v>58</v>
      </c>
      <c r="N294" s="65">
        <v>197</v>
      </c>
      <c r="O294" s="363" t="s">
        <v>60</v>
      </c>
      <c r="P294" s="65">
        <v>197</v>
      </c>
      <c r="Q294" s="363" t="s">
        <v>61</v>
      </c>
      <c r="R294" s="65">
        <v>394</v>
      </c>
      <c r="S294" s="363" t="s">
        <v>62</v>
      </c>
      <c r="T294" s="65">
        <v>98</v>
      </c>
      <c r="U294" s="363" t="s">
        <v>55</v>
      </c>
      <c r="V294" s="66" t="s">
        <v>119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3.6999999999999998E-2</v>
      </c>
      <c r="D295" s="371">
        <v>0.121</v>
      </c>
      <c r="E295" s="371">
        <v>0.32800000000000001</v>
      </c>
      <c r="F295" s="371">
        <v>1.2989999999999999</v>
      </c>
      <c r="G295" s="371">
        <v>1.5449999999999999</v>
      </c>
      <c r="H295" s="371">
        <v>1.7969999999999999</v>
      </c>
      <c r="I295" s="371">
        <v>1.998</v>
      </c>
      <c r="J295" s="371">
        <v>2.2080000000000002</v>
      </c>
      <c r="K295" s="371">
        <v>2.4620000000000002</v>
      </c>
      <c r="L295" s="371">
        <v>2.782</v>
      </c>
      <c r="M295" s="371">
        <v>3.0859999999999999</v>
      </c>
      <c r="N295" s="371">
        <v>3.2130000000000001</v>
      </c>
      <c r="O295" s="371">
        <v>3.258</v>
      </c>
      <c r="P295" s="371">
        <v>3.3279999999999998</v>
      </c>
      <c r="Q295" s="371">
        <v>3.383</v>
      </c>
      <c r="R295" s="371">
        <v>3.4279999999999999</v>
      </c>
      <c r="S295" s="371">
        <v>3.5</v>
      </c>
      <c r="T295" s="371">
        <v>3.5</v>
      </c>
      <c r="U295" s="371">
        <v>3.5</v>
      </c>
      <c r="V295" s="371">
        <v>3.5</v>
      </c>
      <c r="W295" s="371">
        <v>3.5</v>
      </c>
      <c r="X295" s="371">
        <v>3.5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1474.12</v>
      </c>
      <c r="D296" s="373">
        <v>1436.5</v>
      </c>
      <c r="E296" s="373">
        <v>1523.49</v>
      </c>
      <c r="F296" s="373">
        <v>1775.06</v>
      </c>
      <c r="G296" s="373">
        <v>1807.97</v>
      </c>
      <c r="H296" s="373">
        <v>1807.97</v>
      </c>
      <c r="I296" s="373">
        <v>1786.81</v>
      </c>
      <c r="J296" s="373">
        <v>1737.44</v>
      </c>
      <c r="K296" s="373">
        <v>1572.86</v>
      </c>
      <c r="L296" s="373">
        <v>1415.34</v>
      </c>
      <c r="M296" s="373">
        <v>1309.55</v>
      </c>
      <c r="N296" s="373">
        <v>1290.74</v>
      </c>
      <c r="O296" s="373">
        <v>1309.55</v>
      </c>
      <c r="P296" s="373">
        <v>679.45899999999995</v>
      </c>
      <c r="Q296" s="373">
        <v>173.97900000000001</v>
      </c>
      <c r="R296" s="373">
        <v>68.180999999999997</v>
      </c>
      <c r="S296" s="373">
        <v>0</v>
      </c>
      <c r="T296" s="373">
        <v>0</v>
      </c>
      <c r="U296" s="373">
        <v>0</v>
      </c>
      <c r="V296" s="373">
        <v>0</v>
      </c>
      <c r="W296" s="373">
        <v>0</v>
      </c>
      <c r="X296" s="373">
        <v>0</v>
      </c>
      <c r="Y296" s="382">
        <v>0</v>
      </c>
    </row>
    <row r="297" spans="1:25" ht="13.5" thickBot="1" x14ac:dyDescent="0.25">
      <c r="A297" s="379" t="s">
        <v>117</v>
      </c>
      <c r="B297" s="374">
        <f t="shared" ref="B297:X297" si="98">(C296+B296)*(C295-B295)/2</f>
        <v>27.271219999999996</v>
      </c>
      <c r="C297" s="375">
        <f t="shared" si="98"/>
        <v>122.24603999999998</v>
      </c>
      <c r="D297" s="375">
        <f t="shared" si="98"/>
        <v>306.35896500000001</v>
      </c>
      <c r="E297" s="375">
        <f t="shared" si="98"/>
        <v>1601.446025</v>
      </c>
      <c r="F297" s="375">
        <f t="shared" si="98"/>
        <v>440.71268999999995</v>
      </c>
      <c r="G297" s="375">
        <f t="shared" si="98"/>
        <v>455.60844000000003</v>
      </c>
      <c r="H297" s="375">
        <f t="shared" si="98"/>
        <v>361.27539000000007</v>
      </c>
      <c r="I297" s="375">
        <f t="shared" si="98"/>
        <v>370.04625000000033</v>
      </c>
      <c r="J297" s="375">
        <f t="shared" si="98"/>
        <v>420.40810000000005</v>
      </c>
      <c r="K297" s="375">
        <f t="shared" si="98"/>
        <v>478.11199999999974</v>
      </c>
      <c r="L297" s="375">
        <f t="shared" si="98"/>
        <v>414.18327999999974</v>
      </c>
      <c r="M297" s="375">
        <f t="shared" si="98"/>
        <v>165.11841500000028</v>
      </c>
      <c r="N297" s="375">
        <f t="shared" si="98"/>
        <v>58.506524999999904</v>
      </c>
      <c r="O297" s="375">
        <f t="shared" si="98"/>
        <v>69.615314999999839</v>
      </c>
      <c r="P297" s="375">
        <f t="shared" si="98"/>
        <v>23.469545000000068</v>
      </c>
      <c r="Q297" s="375">
        <f t="shared" si="98"/>
        <v>5.4485999999999919</v>
      </c>
      <c r="R297" s="375">
        <f t="shared" si="98"/>
        <v>2.4545160000000021</v>
      </c>
      <c r="S297" s="375">
        <f t="shared" si="98"/>
        <v>0</v>
      </c>
      <c r="T297" s="375">
        <f t="shared" si="98"/>
        <v>0</v>
      </c>
      <c r="U297" s="375">
        <f t="shared" si="98"/>
        <v>0</v>
      </c>
      <c r="V297" s="375">
        <f t="shared" si="98"/>
        <v>0</v>
      </c>
      <c r="W297" s="375">
        <f t="shared" si="98"/>
        <v>0</v>
      </c>
      <c r="X297" s="375">
        <f t="shared" si="98"/>
        <v>0</v>
      </c>
      <c r="Y297" s="369"/>
    </row>
    <row r="298" spans="1:25" ht="13.5" thickBot="1" x14ac:dyDescent="0.25">
      <c r="A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318</v>
      </c>
      <c r="B299" s="359">
        <f>ROW(A299)</f>
        <v>299</v>
      </c>
      <c r="C299" s="363" t="s">
        <v>116</v>
      </c>
      <c r="D299" s="353">
        <f>SUM(B302:Y302)</f>
        <v>7412.4371409999985</v>
      </c>
      <c r="E299" s="363" t="s">
        <v>115</v>
      </c>
      <c r="F299" s="354">
        <f>D299/g/J299</f>
        <v>223.28608637999045</v>
      </c>
      <c r="G299" s="363" t="s">
        <v>57</v>
      </c>
      <c r="H299" s="64">
        <v>6.25</v>
      </c>
      <c r="I299" s="363" t="s">
        <v>270</v>
      </c>
      <c r="J299" s="355">
        <f>H299-L299</f>
        <v>3.3839999999999999</v>
      </c>
      <c r="K299" s="363" t="s">
        <v>271</v>
      </c>
      <c r="L299" s="64">
        <v>2.8660000000000001</v>
      </c>
      <c r="M299" s="363" t="s">
        <v>58</v>
      </c>
      <c r="N299" s="65">
        <v>290</v>
      </c>
      <c r="O299" s="363" t="s">
        <v>60</v>
      </c>
      <c r="P299" s="65">
        <v>290</v>
      </c>
      <c r="Q299" s="363" t="s">
        <v>61</v>
      </c>
      <c r="R299" s="65">
        <v>579</v>
      </c>
      <c r="S299" s="363" t="s">
        <v>62</v>
      </c>
      <c r="T299" s="65">
        <v>98</v>
      </c>
      <c r="U299" s="363" t="s">
        <v>55</v>
      </c>
      <c r="V299" s="66" t="s">
        <v>119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1.7000000000000001E-2</v>
      </c>
      <c r="D300" s="371">
        <v>5.1999999999999998E-2</v>
      </c>
      <c r="E300" s="371">
        <v>8.7999999999999995E-2</v>
      </c>
      <c r="F300" s="371">
        <v>0.108</v>
      </c>
      <c r="G300" s="371">
        <v>0.127</v>
      </c>
      <c r="H300" s="371">
        <v>0.17399999999999999</v>
      </c>
      <c r="I300" s="371">
        <v>0.25700000000000001</v>
      </c>
      <c r="J300" s="371">
        <v>0.40300000000000002</v>
      </c>
      <c r="K300" s="371">
        <v>0.76200000000000001</v>
      </c>
      <c r="L300" s="371">
        <v>0.97699999999999998</v>
      </c>
      <c r="M300" s="371">
        <v>1.341</v>
      </c>
      <c r="N300" s="371">
        <v>1.5009999999999999</v>
      </c>
      <c r="O300" s="371">
        <v>1.661</v>
      </c>
      <c r="P300" s="371">
        <v>1.96</v>
      </c>
      <c r="Q300" s="371">
        <v>2.4039999999999999</v>
      </c>
      <c r="R300" s="371">
        <v>2.641</v>
      </c>
      <c r="S300" s="371">
        <v>2.7160000000000002</v>
      </c>
      <c r="T300" s="371">
        <v>2.8210000000000002</v>
      </c>
      <c r="U300" s="371">
        <v>2.8919999999999999</v>
      </c>
      <c r="V300" s="371">
        <v>2.92</v>
      </c>
      <c r="W300" s="371">
        <v>2.97</v>
      </c>
      <c r="X300" s="371">
        <v>3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329.84699999999998</v>
      </c>
      <c r="D301" s="373">
        <v>1003.68</v>
      </c>
      <c r="E301" s="373">
        <v>2346.62</v>
      </c>
      <c r="F301" s="373">
        <v>2549.2399999999998</v>
      </c>
      <c r="G301" s="373">
        <v>2605.79</v>
      </c>
      <c r="H301" s="373">
        <v>2520.9699999999998</v>
      </c>
      <c r="I301" s="373">
        <v>2516.2600000000002</v>
      </c>
      <c r="J301" s="373">
        <v>2596.37</v>
      </c>
      <c r="K301" s="373">
        <v>2808.41</v>
      </c>
      <c r="L301" s="373">
        <v>2954.49</v>
      </c>
      <c r="M301" s="373">
        <v>2959.2</v>
      </c>
      <c r="N301" s="373">
        <v>2907.36</v>
      </c>
      <c r="O301" s="373">
        <v>2869.67</v>
      </c>
      <c r="P301" s="373">
        <v>2695.32</v>
      </c>
      <c r="Q301" s="373">
        <v>2351.34</v>
      </c>
      <c r="R301" s="373">
        <v>2228.8200000000002</v>
      </c>
      <c r="S301" s="373">
        <v>2007.35</v>
      </c>
      <c r="T301" s="373">
        <v>1427.77</v>
      </c>
      <c r="U301" s="373">
        <v>504.19400000000002</v>
      </c>
      <c r="V301" s="373">
        <v>334.55900000000003</v>
      </c>
      <c r="W301" s="373">
        <v>122.515</v>
      </c>
      <c r="X301" s="373">
        <v>0</v>
      </c>
      <c r="Y301" s="382">
        <v>0</v>
      </c>
    </row>
    <row r="302" spans="1:25" ht="13.5" thickBot="1" x14ac:dyDescent="0.25">
      <c r="A302" s="379" t="s">
        <v>117</v>
      </c>
      <c r="B302" s="374">
        <f t="shared" ref="B302:X302" si="99">(C301+B301)*(C300-B300)/2</f>
        <v>2.8036995</v>
      </c>
      <c r="C302" s="375">
        <f t="shared" si="99"/>
        <v>23.336722499999997</v>
      </c>
      <c r="D302" s="375">
        <f t="shared" si="99"/>
        <v>60.305399999999992</v>
      </c>
      <c r="E302" s="375">
        <f t="shared" si="99"/>
        <v>48.958600000000004</v>
      </c>
      <c r="F302" s="375">
        <f t="shared" si="99"/>
        <v>48.972785000000002</v>
      </c>
      <c r="G302" s="375">
        <f t="shared" si="99"/>
        <v>120.47885999999997</v>
      </c>
      <c r="H302" s="375">
        <f t="shared" si="99"/>
        <v>209.04504500000002</v>
      </c>
      <c r="I302" s="375">
        <f t="shared" si="99"/>
        <v>373.22199000000006</v>
      </c>
      <c r="J302" s="375">
        <f t="shared" si="99"/>
        <v>970.15800999999988</v>
      </c>
      <c r="K302" s="375">
        <f t="shared" si="99"/>
        <v>619.51174999999989</v>
      </c>
      <c r="L302" s="375">
        <f t="shared" si="99"/>
        <v>1076.2915799999998</v>
      </c>
      <c r="M302" s="375">
        <f t="shared" si="99"/>
        <v>469.3247999999997</v>
      </c>
      <c r="N302" s="375">
        <f t="shared" si="99"/>
        <v>462.16240000000045</v>
      </c>
      <c r="O302" s="375">
        <f t="shared" si="99"/>
        <v>831.96600499999977</v>
      </c>
      <c r="P302" s="375">
        <f t="shared" si="99"/>
        <v>1120.3585199999998</v>
      </c>
      <c r="Q302" s="375">
        <f t="shared" si="99"/>
        <v>542.74896000000024</v>
      </c>
      <c r="R302" s="375">
        <f t="shared" si="99"/>
        <v>158.85637500000038</v>
      </c>
      <c r="S302" s="375">
        <f t="shared" si="99"/>
        <v>180.34379999999996</v>
      </c>
      <c r="T302" s="375">
        <f t="shared" si="99"/>
        <v>68.584721999999744</v>
      </c>
      <c r="U302" s="375">
        <f t="shared" si="99"/>
        <v>11.742542000000011</v>
      </c>
      <c r="V302" s="375">
        <f t="shared" si="99"/>
        <v>11.42685000000006</v>
      </c>
      <c r="W302" s="375">
        <f t="shared" si="99"/>
        <v>1.8377249999999881</v>
      </c>
      <c r="X302" s="375">
        <f t="shared" si="99"/>
        <v>0</v>
      </c>
      <c r="Y302" s="369"/>
    </row>
    <row r="303" spans="1:25" ht="13.5" thickBo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3.5" thickBot="1" x14ac:dyDescent="0.25">
      <c r="A304" s="361" t="s">
        <v>552</v>
      </c>
      <c r="B304" s="359">
        <f>ROW(A304)</f>
        <v>304</v>
      </c>
      <c r="C304" s="363" t="s">
        <v>116</v>
      </c>
      <c r="D304" s="353">
        <f>SUM(B307:Y307)</f>
        <v>17734.977350500001</v>
      </c>
      <c r="E304" s="363" t="s">
        <v>115</v>
      </c>
      <c r="F304" s="354">
        <f>D304/g/J304</f>
        <v>192.73420306179892</v>
      </c>
      <c r="G304" s="363" t="s">
        <v>57</v>
      </c>
      <c r="H304" s="64">
        <v>14.747999999999999</v>
      </c>
      <c r="I304" s="363" t="s">
        <v>270</v>
      </c>
      <c r="J304" s="355">
        <f>H304-L304</f>
        <v>9.379999999999999</v>
      </c>
      <c r="K304" s="363" t="s">
        <v>271</v>
      </c>
      <c r="L304" s="64">
        <v>5.3680000000000003</v>
      </c>
      <c r="M304" s="363" t="s">
        <v>58</v>
      </c>
      <c r="N304" s="65">
        <v>500</v>
      </c>
      <c r="O304" s="363" t="s">
        <v>60</v>
      </c>
      <c r="P304" s="65">
        <v>500</v>
      </c>
      <c r="Q304" s="363" t="s">
        <v>61</v>
      </c>
      <c r="R304" s="65">
        <v>1046</v>
      </c>
      <c r="S304" s="363" t="s">
        <v>62</v>
      </c>
      <c r="T304" s="65">
        <v>98</v>
      </c>
      <c r="U304" s="363" t="s">
        <v>55</v>
      </c>
      <c r="V304" s="66" t="s">
        <v>119</v>
      </c>
      <c r="W304" s="12"/>
      <c r="X304" s="12"/>
      <c r="Y304" s="12"/>
    </row>
    <row r="305" spans="1:25" x14ac:dyDescent="0.2">
      <c r="A305" s="362" t="s">
        <v>33</v>
      </c>
      <c r="B305" s="370">
        <v>0</v>
      </c>
      <c r="C305" s="371">
        <v>3.0000000000000001E-3</v>
      </c>
      <c r="D305" s="371">
        <v>0.05</v>
      </c>
      <c r="E305" s="371">
        <v>7.8E-2</v>
      </c>
      <c r="F305" s="371">
        <v>0.121</v>
      </c>
      <c r="G305" s="371">
        <v>0.65200000000000002</v>
      </c>
      <c r="H305" s="371">
        <v>1.123</v>
      </c>
      <c r="I305" s="371">
        <v>1.655</v>
      </c>
      <c r="J305" s="371">
        <v>2.3530000000000002</v>
      </c>
      <c r="K305" s="371">
        <v>3.0350000000000001</v>
      </c>
      <c r="L305" s="371">
        <v>3.7</v>
      </c>
      <c r="M305" s="371">
        <v>3.7330000000000001</v>
      </c>
      <c r="N305" s="371">
        <v>3.887</v>
      </c>
      <c r="O305" s="371">
        <v>4.0359999999999996</v>
      </c>
      <c r="P305" s="371">
        <v>4.1970000000000001</v>
      </c>
      <c r="Q305" s="371">
        <v>4.2619999999999996</v>
      </c>
      <c r="R305" s="371">
        <v>4.3</v>
      </c>
      <c r="S305" s="371">
        <v>5</v>
      </c>
      <c r="T305" s="371">
        <v>5</v>
      </c>
      <c r="U305" s="371">
        <v>5</v>
      </c>
      <c r="V305" s="371">
        <v>5</v>
      </c>
      <c r="W305" s="371">
        <v>5</v>
      </c>
      <c r="X305" s="371">
        <v>5</v>
      </c>
      <c r="Y305" s="381">
        <v>1000</v>
      </c>
    </row>
    <row r="306" spans="1:25" x14ac:dyDescent="0.2">
      <c r="A306" s="378" t="s">
        <v>34</v>
      </c>
      <c r="B306" s="372">
        <v>0</v>
      </c>
      <c r="C306" s="373">
        <v>203.87700000000001</v>
      </c>
      <c r="D306" s="373">
        <v>2362.8789999999999</v>
      </c>
      <c r="E306" s="373">
        <v>3946.8449999999998</v>
      </c>
      <c r="F306" s="373">
        <v>4281.4120000000003</v>
      </c>
      <c r="G306" s="373">
        <v>4370.2809999999999</v>
      </c>
      <c r="H306" s="373">
        <v>4453.9229999999998</v>
      </c>
      <c r="I306" s="373">
        <v>4772.8069999999998</v>
      </c>
      <c r="J306" s="373">
        <v>4621.2060000000001</v>
      </c>
      <c r="K306" s="373">
        <v>4511.4269999999997</v>
      </c>
      <c r="L306" s="373">
        <v>4375.509</v>
      </c>
      <c r="M306" s="373">
        <v>4182.0870000000004</v>
      </c>
      <c r="N306" s="373">
        <v>2969.2820000000002</v>
      </c>
      <c r="O306" s="373">
        <v>1589.193</v>
      </c>
      <c r="P306" s="373">
        <v>533.21600000000001</v>
      </c>
      <c r="Q306" s="373">
        <v>240.47</v>
      </c>
      <c r="R306" s="373">
        <v>0</v>
      </c>
      <c r="S306" s="373">
        <v>0</v>
      </c>
      <c r="T306" s="373">
        <v>0</v>
      </c>
      <c r="U306" s="373">
        <v>0</v>
      </c>
      <c r="V306" s="373">
        <v>0</v>
      </c>
      <c r="W306" s="373">
        <v>0</v>
      </c>
      <c r="X306" s="373">
        <v>0</v>
      </c>
      <c r="Y306" s="382">
        <v>0</v>
      </c>
    </row>
    <row r="307" spans="1:25" ht="13.5" thickBot="1" x14ac:dyDescent="0.25">
      <c r="A307" s="379" t="s">
        <v>117</v>
      </c>
      <c r="B307" s="374">
        <f t="shared" ref="B307" si="100">(C306+B306)*(C305-B305)/2</f>
        <v>0.30581550000000002</v>
      </c>
      <c r="C307" s="375">
        <f t="shared" ref="C307" si="101">(D306+C306)*(D305-C305)/2</f>
        <v>60.318765999999997</v>
      </c>
      <c r="D307" s="375">
        <f t="shared" ref="D307" si="102">(E306+D306)*(E305-D305)/2</f>
        <v>88.336135999999996</v>
      </c>
      <c r="E307" s="375">
        <f t="shared" ref="E307" si="103">(F306+E306)*(F305-E305)/2</f>
        <v>176.90752549999999</v>
      </c>
      <c r="F307" s="375">
        <f t="shared" ref="F307" si="104">(G306+F306)*(G305-F305)/2</f>
        <v>2297.0244914999998</v>
      </c>
      <c r="G307" s="375">
        <f t="shared" ref="G307" si="105">(H306+G306)*(H305-G305)/2</f>
        <v>2078.100042</v>
      </c>
      <c r="H307" s="375">
        <f t="shared" ref="H307" si="106">(I306+H306)*(I305-H305)/2</f>
        <v>2454.3101799999999</v>
      </c>
      <c r="I307" s="375">
        <f t="shared" ref="I307" si="107">(J306+I306)*(J305-I305)/2</f>
        <v>3278.5105370000006</v>
      </c>
      <c r="J307" s="375">
        <f t="shared" ref="J307" si="108">(K306+J306)*(K305-J305)/2</f>
        <v>3114.2278529999999</v>
      </c>
      <c r="K307" s="375">
        <f t="shared" ref="K307" si="109">(L306+K306)*(L305-K305)/2</f>
        <v>2954.9062199999998</v>
      </c>
      <c r="L307" s="375">
        <f t="shared" ref="L307" si="110">(M306+L306)*(M305-L305)/2</f>
        <v>141.20033399999969</v>
      </c>
      <c r="M307" s="375">
        <f t="shared" ref="M307" si="111">(N306+M306)*(N305-M305)/2</f>
        <v>550.65541299999973</v>
      </c>
      <c r="N307" s="375">
        <f t="shared" ref="N307" si="112">(O306+N306)*(O305-N305)/2</f>
        <v>339.60638749999907</v>
      </c>
      <c r="O307" s="375">
        <f t="shared" ref="O307" si="113">(P306+O306)*(P305-O305)/2</f>
        <v>170.85392450000052</v>
      </c>
      <c r="P307" s="375">
        <f t="shared" ref="P307" si="114">(Q306+P306)*(Q305-P305)/2</f>
        <v>25.14479499999981</v>
      </c>
      <c r="Q307" s="375">
        <f t="shared" ref="Q307" si="115">(R306+Q306)*(R305-Q305)/2</f>
        <v>4.568930000000031</v>
      </c>
      <c r="R307" s="375">
        <f t="shared" ref="R307" si="116">(S306+R306)*(S305-R305)/2</f>
        <v>0</v>
      </c>
      <c r="S307" s="375">
        <f t="shared" ref="S307" si="117">(T306+S306)*(T305-S305)/2</f>
        <v>0</v>
      </c>
      <c r="T307" s="375">
        <f t="shared" ref="T307" si="118">(U306+T306)*(U305-T305)/2</f>
        <v>0</v>
      </c>
      <c r="U307" s="375">
        <f t="shared" ref="U307" si="119">(V306+U306)*(V305-U305)/2</f>
        <v>0</v>
      </c>
      <c r="V307" s="375">
        <f t="shared" ref="V307" si="120">(W306+V306)*(W305-V305)/2</f>
        <v>0</v>
      </c>
      <c r="W307" s="375">
        <f t="shared" ref="W307" si="121">(X306+W306)*(X305-W305)/2</f>
        <v>0</v>
      </c>
      <c r="X307" s="375">
        <f t="shared" ref="X307" si="122">(Y306+X306)*(Y305-X305)/2</f>
        <v>0</v>
      </c>
      <c r="Y307" s="369"/>
    </row>
    <row r="308" spans="1:25" ht="13.5" thickBo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3.5" thickBot="1" x14ac:dyDescent="0.25">
      <c r="A309" s="361" t="s">
        <v>45</v>
      </c>
      <c r="B309" s="359">
        <f>ROW(A309)</f>
        <v>309</v>
      </c>
      <c r="C309" s="363" t="s">
        <v>116</v>
      </c>
      <c r="D309" s="353">
        <f>SUM(B312:Y312)</f>
        <v>1E-3</v>
      </c>
      <c r="E309" s="363" t="s">
        <v>115</v>
      </c>
      <c r="F309" s="354">
        <f>D309/g/J309</f>
        <v>1.019367991845056</v>
      </c>
      <c r="G309" s="363" t="s">
        <v>57</v>
      </c>
      <c r="H309" s="64">
        <v>1E-4</v>
      </c>
      <c r="I309" s="363" t="s">
        <v>270</v>
      </c>
      <c r="J309" s="355">
        <f>H309-L309</f>
        <v>1E-4</v>
      </c>
      <c r="K309" s="363" t="s">
        <v>271</v>
      </c>
      <c r="L309" s="64">
        <v>0</v>
      </c>
      <c r="M309" s="363" t="s">
        <v>58</v>
      </c>
      <c r="N309" s="65">
        <v>0</v>
      </c>
      <c r="O309" s="363" t="s">
        <v>60</v>
      </c>
      <c r="P309" s="65">
        <v>0</v>
      </c>
      <c r="Q309" s="363" t="s">
        <v>61</v>
      </c>
      <c r="R309" s="65">
        <v>0</v>
      </c>
      <c r="S309" s="363" t="s">
        <v>62</v>
      </c>
      <c r="T309" s="65">
        <v>0</v>
      </c>
      <c r="U309" s="363" t="s">
        <v>55</v>
      </c>
      <c r="V309" s="66" t="s">
        <v>119</v>
      </c>
      <c r="W309" s="12"/>
      <c r="X309" s="12"/>
      <c r="Y309" s="12"/>
    </row>
    <row r="310" spans="1:25" x14ac:dyDescent="0.2">
      <c r="A310" s="362" t="s">
        <v>33</v>
      </c>
      <c r="B310" s="370">
        <v>0</v>
      </c>
      <c r="C310" s="371">
        <v>0.1</v>
      </c>
      <c r="D310" s="371">
        <v>0.2</v>
      </c>
      <c r="E310" s="371">
        <v>1</v>
      </c>
      <c r="F310" s="371">
        <v>1</v>
      </c>
      <c r="G310" s="371">
        <v>1</v>
      </c>
      <c r="H310" s="371">
        <v>1</v>
      </c>
      <c r="I310" s="371">
        <v>1</v>
      </c>
      <c r="J310" s="371">
        <v>1</v>
      </c>
      <c r="K310" s="371">
        <v>1</v>
      </c>
      <c r="L310" s="371">
        <v>1</v>
      </c>
      <c r="M310" s="371">
        <v>1</v>
      </c>
      <c r="N310" s="371">
        <v>1</v>
      </c>
      <c r="O310" s="371">
        <v>1</v>
      </c>
      <c r="P310" s="371">
        <v>1</v>
      </c>
      <c r="Q310" s="371">
        <v>1</v>
      </c>
      <c r="R310" s="371">
        <v>1</v>
      </c>
      <c r="S310" s="371">
        <v>1</v>
      </c>
      <c r="T310" s="371">
        <v>1</v>
      </c>
      <c r="U310" s="371">
        <v>1</v>
      </c>
      <c r="V310" s="371">
        <v>1</v>
      </c>
      <c r="W310" s="371">
        <v>1</v>
      </c>
      <c r="X310" s="371">
        <v>1</v>
      </c>
      <c r="Y310" s="381">
        <v>1000</v>
      </c>
    </row>
    <row r="311" spans="1:25" x14ac:dyDescent="0.2">
      <c r="A311" s="378" t="s">
        <v>34</v>
      </c>
      <c r="B311" s="372">
        <v>0</v>
      </c>
      <c r="C311" s="373">
        <v>0.01</v>
      </c>
      <c r="D311" s="373">
        <v>0</v>
      </c>
      <c r="E311" s="373">
        <v>0</v>
      </c>
      <c r="F311" s="373">
        <v>0</v>
      </c>
      <c r="G311" s="373">
        <v>0</v>
      </c>
      <c r="H311" s="373">
        <v>0</v>
      </c>
      <c r="I311" s="373">
        <v>0</v>
      </c>
      <c r="J311" s="373">
        <v>0</v>
      </c>
      <c r="K311" s="373">
        <v>0</v>
      </c>
      <c r="L311" s="373">
        <v>0</v>
      </c>
      <c r="M311" s="373">
        <v>0</v>
      </c>
      <c r="N311" s="373">
        <v>0</v>
      </c>
      <c r="O311" s="373">
        <v>0</v>
      </c>
      <c r="P311" s="373">
        <v>0</v>
      </c>
      <c r="Q311" s="373">
        <v>0</v>
      </c>
      <c r="R311" s="373">
        <v>0</v>
      </c>
      <c r="S311" s="373">
        <v>0</v>
      </c>
      <c r="T311" s="373">
        <v>0</v>
      </c>
      <c r="U311" s="373">
        <v>0</v>
      </c>
      <c r="V311" s="373">
        <v>0</v>
      </c>
      <c r="W311" s="373">
        <v>0</v>
      </c>
      <c r="X311" s="373">
        <v>0</v>
      </c>
      <c r="Y311" s="382">
        <v>0</v>
      </c>
    </row>
    <row r="312" spans="1:25" ht="13.5" thickBot="1" x14ac:dyDescent="0.25">
      <c r="A312" s="379" t="s">
        <v>117</v>
      </c>
      <c r="B312" s="374">
        <f t="shared" ref="B312:G312" si="123">(C311+B311)*(C310-B310)/2</f>
        <v>5.0000000000000001E-4</v>
      </c>
      <c r="C312" s="375">
        <f t="shared" si="123"/>
        <v>5.0000000000000001E-4</v>
      </c>
      <c r="D312" s="375">
        <f t="shared" si="123"/>
        <v>0</v>
      </c>
      <c r="E312" s="375">
        <f t="shared" si="123"/>
        <v>0</v>
      </c>
      <c r="F312" s="375">
        <f t="shared" si="123"/>
        <v>0</v>
      </c>
      <c r="G312" s="375">
        <f t="shared" si="123"/>
        <v>0</v>
      </c>
      <c r="H312" s="375">
        <f t="shared" ref="H312:V312" si="124">(I311+H311)*(I310-H310)/2</f>
        <v>0</v>
      </c>
      <c r="I312" s="375">
        <f t="shared" si="124"/>
        <v>0</v>
      </c>
      <c r="J312" s="375">
        <f>(K311+J311)*(K310-J310)/2</f>
        <v>0</v>
      </c>
      <c r="K312" s="375">
        <f t="shared" si="124"/>
        <v>0</v>
      </c>
      <c r="L312" s="375">
        <f t="shared" si="124"/>
        <v>0</v>
      </c>
      <c r="M312" s="375">
        <f t="shared" si="124"/>
        <v>0</v>
      </c>
      <c r="N312" s="375">
        <f t="shared" si="124"/>
        <v>0</v>
      </c>
      <c r="O312" s="375">
        <f t="shared" si="124"/>
        <v>0</v>
      </c>
      <c r="P312" s="375">
        <f t="shared" si="124"/>
        <v>0</v>
      </c>
      <c r="Q312" s="375">
        <f t="shared" si="124"/>
        <v>0</v>
      </c>
      <c r="R312" s="375">
        <f t="shared" si="124"/>
        <v>0</v>
      </c>
      <c r="S312" s="375">
        <f>(T311+S311)*(T310-S310)/2</f>
        <v>0</v>
      </c>
      <c r="T312" s="375">
        <f t="shared" si="124"/>
        <v>0</v>
      </c>
      <c r="U312" s="375">
        <f t="shared" si="124"/>
        <v>0</v>
      </c>
      <c r="V312" s="375">
        <f t="shared" si="124"/>
        <v>0</v>
      </c>
      <c r="W312" s="375">
        <f>(X311+W311)*(X310-W310)/2</f>
        <v>0</v>
      </c>
      <c r="X312" s="375">
        <f>(Y311+X311)*(Y310-X310)/2</f>
        <v>0</v>
      </c>
      <c r="Y312" s="369"/>
    </row>
    <row r="314" spans="1:25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6" spans="1:25" x14ac:dyDescent="0.2">
      <c r="A316" s="397" t="str">
        <f>IF(Lang="Français","Liste des propu affichés :","Motor list (shown):")</f>
        <v>Liste des propu affichés :</v>
      </c>
      <c r="C316" s="632" t="s">
        <v>275</v>
      </c>
      <c r="D316" s="633"/>
      <c r="F316" s="632" t="s">
        <v>182</v>
      </c>
      <c r="G316" s="633"/>
      <c r="H316" s="12"/>
      <c r="I316" s="632" t="s">
        <v>397</v>
      </c>
      <c r="J316" s="633"/>
      <c r="K316" s="12"/>
      <c r="L316" s="632" t="s">
        <v>183</v>
      </c>
      <c r="M316" s="633"/>
      <c r="O316" s="632" t="s">
        <v>396</v>
      </c>
      <c r="P316" s="633"/>
      <c r="R316" s="632" t="s">
        <v>119</v>
      </c>
      <c r="S316" s="633"/>
    </row>
    <row r="317" spans="1:25" x14ac:dyDescent="0.2">
      <c r="A317" s="398" t="str">
        <f t="array" ref="A317:A346">IF(RIGHT(Type_fusee,1)=".",Liste_fusex, IF(LEFT(Type_fusee,4)="Mini",Liste_minif, IF(LEFT(Type_fusee,5)="Micro",Liste_µfu, IF(RIGHT(Type_fusee,1)=" ",Liste_H2O, IF(LEFT(Type_fusee,1)="R",Liste_RC, IF(LEFT(Type_fusee,1)=",",Liste_minifT))))))</f>
        <v>p29-1G 56F31</v>
      </c>
      <c r="C317" s="634" t="str">
        <f>A26</f>
        <v>H2O 1.5L 300g 6bar</v>
      </c>
      <c r="D317" s="635"/>
      <c r="F317" s="634" t="str">
        <f>A67</f>
        <v>µ-propu A8-3</v>
      </c>
      <c r="G317" s="635"/>
      <c r="H317" s="473"/>
      <c r="I317" s="636" t="str">
        <f>A148</f>
        <v>p29-1G 56F31</v>
      </c>
      <c r="J317" s="637"/>
      <c r="K317" s="473"/>
      <c r="L317" s="636" t="str">
        <f>A148</f>
        <v>p29-1G 56F31</v>
      </c>
      <c r="M317" s="637"/>
      <c r="O317" s="634" t="str">
        <f>A108</f>
        <v>p24-1G 24E22</v>
      </c>
      <c r="P317" s="635"/>
      <c r="R317" s="634" t="str">
        <f>A279</f>
        <v>Barasinga (Pro54-5G C)</v>
      </c>
      <c r="S317" s="635"/>
    </row>
    <row r="318" spans="1:25" x14ac:dyDescent="0.2">
      <c r="A318" s="398" t="str">
        <v>p29-1G 56F120</v>
      </c>
      <c r="C318" s="634" t="str">
        <f>A31</f>
        <v>H2O 1.5L 450g 6bar</v>
      </c>
      <c r="D318" s="635"/>
      <c r="F318" s="634" t="str">
        <f>A72</f>
        <v>µ-propu B4-4</v>
      </c>
      <c r="G318" s="635"/>
      <c r="H318" s="473"/>
      <c r="I318" s="636" t="str">
        <f>A153</f>
        <v>p29-1G 56F120</v>
      </c>
      <c r="J318" s="637"/>
      <c r="K318" s="473"/>
      <c r="L318" s="636" t="str">
        <f>A153</f>
        <v>p29-1G 56F120</v>
      </c>
      <c r="M318" s="637"/>
      <c r="O318" s="634" t="str">
        <f>A113</f>
        <v>p24-1G 25E75 (Rufina)</v>
      </c>
      <c r="P318" s="635"/>
      <c r="R318" s="634" t="str">
        <f>A289</f>
        <v>Orignal (Pro75-3G C)</v>
      </c>
      <c r="S318" s="635"/>
    </row>
    <row r="319" spans="1:25" x14ac:dyDescent="0.2">
      <c r="A319" s="398" t="str">
        <v>p29-1G 57F59</v>
      </c>
      <c r="C319" s="634" t="str">
        <f>A36</f>
        <v>H2O 1.5L 600g 6bar</v>
      </c>
      <c r="D319" s="635"/>
      <c r="F319" s="634" t="str">
        <f>A77</f>
        <v>µ-propu C6-3</v>
      </c>
      <c r="G319" s="635"/>
      <c r="H319" s="473"/>
      <c r="I319" s="636" t="str">
        <f>A158</f>
        <v>p29-1G 57F59</v>
      </c>
      <c r="J319" s="637"/>
      <c r="K319" s="473"/>
      <c r="L319" s="636" t="str">
        <f>A158</f>
        <v>p29-1G 57F59</v>
      </c>
      <c r="M319" s="637"/>
      <c r="O319" s="634" t="str">
        <f>A118</f>
        <v>p24-1G 26E31</v>
      </c>
      <c r="P319" s="635"/>
      <c r="R319" s="634" t="s">
        <v>184</v>
      </c>
      <c r="S319" s="635"/>
    </row>
    <row r="320" spans="1:25" x14ac:dyDescent="0.2">
      <c r="A320" s="398" t="str">
        <v>p29-2G 116G126</v>
      </c>
      <c r="C320" s="634" t="str">
        <f>A41</f>
        <v>H2O 1.5L 750g 6bar</v>
      </c>
      <c r="D320" s="635"/>
      <c r="F320" s="634" t="str">
        <f>A82</f>
        <v>µ-propu C6-3 x2</v>
      </c>
      <c r="G320" s="635"/>
      <c r="H320" s="473"/>
      <c r="I320" s="636" t="str">
        <f>A183</f>
        <v>p24-3G 74F85</v>
      </c>
      <c r="J320" s="637"/>
      <c r="K320" s="473"/>
      <c r="L320" s="636" t="str">
        <f>A228</f>
        <v>p29-2G 116G126</v>
      </c>
      <c r="M320" s="637"/>
      <c r="O320" s="634" t="str">
        <f>A123</f>
        <v>p24-2G 50E51</v>
      </c>
      <c r="P320" s="635"/>
      <c r="R320" s="634" t="s">
        <v>184</v>
      </c>
      <c r="S320" s="635"/>
    </row>
    <row r="321" spans="1:19" x14ac:dyDescent="0.2">
      <c r="A321" s="398" t="str">
        <v xml:space="preserve"> </v>
      </c>
      <c r="C321" s="634" t="str">
        <f>A46</f>
        <v>H2O 2.0L 400g 6bar</v>
      </c>
      <c r="D321" s="635"/>
      <c r="F321" s="634" t="str">
        <f>A87</f>
        <v>µ-propu C6-3 x3</v>
      </c>
      <c r="G321" s="635"/>
      <c r="H321" s="473"/>
      <c r="I321" s="636" t="str">
        <f>A188</f>
        <v>p24-3G 75F51</v>
      </c>
      <c r="J321" s="637"/>
      <c r="K321" s="473"/>
      <c r="L321" s="636" t="s">
        <v>184</v>
      </c>
      <c r="M321" s="637"/>
      <c r="O321" s="634" t="str">
        <f>A128</f>
        <v>p24-1G 53E70</v>
      </c>
      <c r="P321" s="635"/>
      <c r="R321" s="634" t="s">
        <v>184</v>
      </c>
      <c r="S321" s="635"/>
    </row>
    <row r="322" spans="1:19" x14ac:dyDescent="0.2">
      <c r="A322" s="398" t="str">
        <v>Pandora (Pro24-6G BS)</v>
      </c>
      <c r="C322" s="634" t="str">
        <f>A51</f>
        <v>H2O 2.0L 600g 6bar</v>
      </c>
      <c r="D322" s="635"/>
      <c r="F322" s="634" t="s">
        <v>184</v>
      </c>
      <c r="G322" s="635"/>
      <c r="H322" s="473"/>
      <c r="I322" s="636" t="s">
        <v>184</v>
      </c>
      <c r="J322" s="637"/>
      <c r="K322" s="473"/>
      <c r="L322" s="634" t="str">
        <f>A198</f>
        <v>Pandora (Pro24-6G BS)</v>
      </c>
      <c r="M322" s="635"/>
      <c r="O322" s="634" t="str">
        <f>A133</f>
        <v>p29-1G 41F36</v>
      </c>
      <c r="P322" s="635"/>
      <c r="R322" s="634" t="s">
        <v>184</v>
      </c>
      <c r="S322" s="635"/>
    </row>
    <row r="323" spans="1:19" x14ac:dyDescent="0.2">
      <c r="A323" s="398" t="str">
        <v xml:space="preserve"> </v>
      </c>
      <c r="C323" s="634" t="str">
        <f>A56</f>
        <v>H2O 2.0L 800g 6bar</v>
      </c>
      <c r="D323" s="635"/>
      <c r="F323" s="634" t="s">
        <v>184</v>
      </c>
      <c r="G323" s="635"/>
      <c r="H323" s="473"/>
      <c r="I323" s="636" t="s">
        <v>184</v>
      </c>
      <c r="J323" s="637"/>
      <c r="K323" s="473"/>
      <c r="L323" s="634" t="s">
        <v>184</v>
      </c>
      <c r="M323" s="635"/>
      <c r="O323" s="634" t="str">
        <f>A138</f>
        <v>p29-1G 51F36</v>
      </c>
      <c r="P323" s="635"/>
      <c r="R323" s="634" t="s">
        <v>184</v>
      </c>
      <c r="S323" s="635"/>
    </row>
    <row r="324" spans="1:19" x14ac:dyDescent="0.2">
      <c r="A324" s="398" t="str">
        <v>Klima D9-7</v>
      </c>
      <c r="C324" s="634" t="str">
        <f>A61</f>
        <v>H2O 2.0L 1000g 6bar</v>
      </c>
      <c r="D324" s="635"/>
      <c r="F324" s="634" t="s">
        <v>184</v>
      </c>
      <c r="G324" s="635"/>
      <c r="H324" s="473"/>
      <c r="I324" s="636" t="s">
        <v>184</v>
      </c>
      <c r="J324" s="637"/>
      <c r="K324" s="473"/>
      <c r="L324" s="634" t="str">
        <f>A92</f>
        <v>Klima D9-7</v>
      </c>
      <c r="M324" s="635"/>
      <c r="O324" s="634" t="str">
        <f>A143</f>
        <v>p29-1G 55F29</v>
      </c>
      <c r="P324" s="635"/>
      <c r="R324" s="634" t="s">
        <v>184</v>
      </c>
      <c r="S324" s="635"/>
    </row>
    <row r="325" spans="1:19" x14ac:dyDescent="0.2">
      <c r="A325" s="398" t="str">
        <v>Klima D9-7 x2</v>
      </c>
      <c r="C325" s="634" t="s">
        <v>184</v>
      </c>
      <c r="D325" s="635"/>
      <c r="F325" s="634" t="s">
        <v>184</v>
      </c>
      <c r="G325" s="635"/>
      <c r="H325" s="473"/>
      <c r="I325" s="636" t="s">
        <v>184</v>
      </c>
      <c r="J325" s="637"/>
      <c r="K325" s="473"/>
      <c r="L325" s="634" t="str">
        <f>A97</f>
        <v>Klima D9-7 x2</v>
      </c>
      <c r="M325" s="635"/>
      <c r="O325" s="634" t="str">
        <f>A153</f>
        <v>p29-1G 56F120</v>
      </c>
      <c r="P325" s="635"/>
      <c r="R325" s="634" t="s">
        <v>184</v>
      </c>
      <c r="S325" s="635"/>
    </row>
    <row r="326" spans="1:19" x14ac:dyDescent="0.2">
      <c r="A326" s="398" t="str">
        <v>Klima D9-7 x3</v>
      </c>
      <c r="C326" s="634" t="s">
        <v>184</v>
      </c>
      <c r="D326" s="635"/>
      <c r="F326" s="634" t="s">
        <v>184</v>
      </c>
      <c r="G326" s="635"/>
      <c r="H326" s="473"/>
      <c r="I326" s="636" t="s">
        <v>184</v>
      </c>
      <c r="J326" s="637"/>
      <c r="K326" s="473"/>
      <c r="L326" s="634" t="str">
        <f>A102</f>
        <v>Klima D9-7 x3</v>
      </c>
      <c r="M326" s="635"/>
      <c r="O326" s="634" t="str">
        <f>A158</f>
        <v>p29-1G 57F59</v>
      </c>
      <c r="P326" s="635"/>
      <c r="R326" s="634" t="s">
        <v>184</v>
      </c>
      <c r="S326" s="635"/>
    </row>
    <row r="327" spans="1:19" x14ac:dyDescent="0.2">
      <c r="A327" s="398" t="str">
        <v xml:space="preserve"> </v>
      </c>
      <c r="C327" s="634" t="s">
        <v>184</v>
      </c>
      <c r="D327" s="635"/>
      <c r="F327" s="634" t="s">
        <v>184</v>
      </c>
      <c r="G327" s="635"/>
      <c r="H327" s="473"/>
      <c r="I327" s="636" t="s">
        <v>184</v>
      </c>
      <c r="J327" s="637"/>
      <c r="K327" s="473"/>
      <c r="L327" s="634" t="s">
        <v>184</v>
      </c>
      <c r="M327" s="635"/>
      <c r="O327" s="634" t="str">
        <f>A163</f>
        <v>p24-3G 60F50</v>
      </c>
      <c r="P327" s="635"/>
      <c r="R327" s="634" t="s">
        <v>184</v>
      </c>
      <c r="S327" s="635"/>
    </row>
    <row r="328" spans="1:19" x14ac:dyDescent="0.2">
      <c r="A328" s="398" t="str">
        <v xml:space="preserve"> </v>
      </c>
      <c r="C328" s="634" t="s">
        <v>184</v>
      </c>
      <c r="D328" s="635"/>
      <c r="F328" s="634" t="s">
        <v>184</v>
      </c>
      <c r="G328" s="635"/>
      <c r="H328" s="473"/>
      <c r="I328" s="636" t="s">
        <v>184</v>
      </c>
      <c r="J328" s="637"/>
      <c r="K328" s="473"/>
      <c r="L328" s="634" t="s">
        <v>184</v>
      </c>
      <c r="M328" s="635"/>
      <c r="O328" s="634" t="str">
        <f>A168</f>
        <v>p24-3G 68F79</v>
      </c>
      <c r="P328" s="635"/>
      <c r="R328" s="634" t="s">
        <v>184</v>
      </c>
      <c r="S328" s="635"/>
    </row>
    <row r="329" spans="1:19" x14ac:dyDescent="0.2">
      <c r="A329" s="398" t="str">
        <v xml:space="preserve"> </v>
      </c>
      <c r="C329" s="634" t="s">
        <v>184</v>
      </c>
      <c r="D329" s="635"/>
      <c r="F329" s="634" t="s">
        <v>184</v>
      </c>
      <c r="G329" s="635"/>
      <c r="H329" s="473"/>
      <c r="I329" s="636" t="s">
        <v>184</v>
      </c>
      <c r="J329" s="637"/>
      <c r="K329" s="473"/>
      <c r="L329" s="634" t="s">
        <v>184</v>
      </c>
      <c r="M329" s="635"/>
      <c r="O329" s="634" t="str">
        <f>A173</f>
        <v>p24-3G 68F240</v>
      </c>
      <c r="P329" s="635"/>
      <c r="R329" s="634" t="s">
        <v>184</v>
      </c>
      <c r="S329" s="635"/>
    </row>
    <row r="330" spans="1:19" x14ac:dyDescent="0.2">
      <c r="A330" s="398" t="str">
        <v xml:space="preserve"> </v>
      </c>
      <c r="C330" s="634" t="s">
        <v>184</v>
      </c>
      <c r="D330" s="635"/>
      <c r="F330" s="634" t="s">
        <v>184</v>
      </c>
      <c r="G330" s="635"/>
      <c r="H330" s="473"/>
      <c r="I330" s="636" t="s">
        <v>184</v>
      </c>
      <c r="J330" s="637"/>
      <c r="K330" s="473"/>
      <c r="L330" s="634" t="s">
        <v>184</v>
      </c>
      <c r="M330" s="635"/>
      <c r="O330" s="634" t="str">
        <f>A178</f>
        <v>p24-3G 73F30</v>
      </c>
      <c r="P330" s="635"/>
      <c r="R330" s="634" t="s">
        <v>184</v>
      </c>
      <c r="S330" s="635"/>
    </row>
    <row r="331" spans="1:19" x14ac:dyDescent="0.2">
      <c r="A331" s="398" t="str">
        <v xml:space="preserve"> </v>
      </c>
      <c r="C331" s="634" t="s">
        <v>184</v>
      </c>
      <c r="D331" s="635"/>
      <c r="F331" s="634" t="s">
        <v>184</v>
      </c>
      <c r="G331" s="635"/>
      <c r="H331" s="473"/>
      <c r="I331" s="640" t="s">
        <v>184</v>
      </c>
      <c r="J331" s="641"/>
      <c r="K331" s="473"/>
      <c r="L331" s="634" t="s">
        <v>184</v>
      </c>
      <c r="M331" s="635"/>
      <c r="O331" s="634" t="str">
        <f>A183</f>
        <v>p24-3G 74F85</v>
      </c>
      <c r="P331" s="635"/>
      <c r="R331" s="634" t="s">
        <v>184</v>
      </c>
      <c r="S331" s="635"/>
    </row>
    <row r="332" spans="1:19" x14ac:dyDescent="0.2">
      <c r="A332" s="462" t="str">
        <v xml:space="preserve"> </v>
      </c>
      <c r="C332" s="638" t="s">
        <v>184</v>
      </c>
      <c r="D332" s="639"/>
      <c r="F332" s="638" t="s">
        <v>184</v>
      </c>
      <c r="G332" s="639"/>
      <c r="H332" s="473"/>
      <c r="I332" s="638" t="s">
        <v>184</v>
      </c>
      <c r="J332" s="639"/>
      <c r="K332" s="473"/>
      <c r="L332" s="638" t="s">
        <v>184</v>
      </c>
      <c r="M332" s="639"/>
      <c r="O332" s="634" t="str">
        <f>A188</f>
        <v>p24-3G 75F51</v>
      </c>
      <c r="P332" s="635"/>
      <c r="R332" s="638" t="s">
        <v>184</v>
      </c>
      <c r="S332" s="639"/>
    </row>
    <row r="333" spans="1:19" x14ac:dyDescent="0.2">
      <c r="A333" s="398" t="str">
        <v xml:space="preserve"> </v>
      </c>
      <c r="C333" s="629" t="s">
        <v>184</v>
      </c>
      <c r="D333" s="629"/>
      <c r="F333" s="629" t="s">
        <v>184</v>
      </c>
      <c r="G333" s="629"/>
      <c r="I333" s="631" t="s">
        <v>184</v>
      </c>
      <c r="J333" s="631"/>
      <c r="L333" s="631" t="s">
        <v>184</v>
      </c>
      <c r="M333" s="631"/>
      <c r="O333" s="634" t="str">
        <f>A213</f>
        <v>p29-2G 84G88</v>
      </c>
      <c r="P333" s="635"/>
      <c r="R333" s="643" t="s">
        <v>184</v>
      </c>
      <c r="S333" s="643"/>
    </row>
    <row r="334" spans="1:19" x14ac:dyDescent="0.2">
      <c r="A334" s="398" t="str">
        <v xml:space="preserve"> </v>
      </c>
      <c r="C334" s="630" t="s">
        <v>184</v>
      </c>
      <c r="D334" s="630"/>
      <c r="F334" s="630" t="s">
        <v>184</v>
      </c>
      <c r="G334" s="630"/>
      <c r="I334" s="631" t="s">
        <v>184</v>
      </c>
      <c r="J334" s="631"/>
      <c r="L334" s="631" t="s">
        <v>184</v>
      </c>
      <c r="M334" s="631"/>
      <c r="O334" s="634" t="str">
        <f>A218</f>
        <v>p29-2G 93G80</v>
      </c>
      <c r="P334" s="635"/>
      <c r="R334" s="642" t="str">
        <f>A269</f>
        <v>Isard</v>
      </c>
      <c r="S334" s="642"/>
    </row>
    <row r="335" spans="1:19" x14ac:dyDescent="0.2">
      <c r="A335" s="398" t="str">
        <v xml:space="preserve"> </v>
      </c>
      <c r="C335" s="630" t="s">
        <v>184</v>
      </c>
      <c r="D335" s="630"/>
      <c r="F335" s="630" t="s">
        <v>184</v>
      </c>
      <c r="G335" s="630"/>
      <c r="I335" s="631" t="s">
        <v>184</v>
      </c>
      <c r="J335" s="631"/>
      <c r="L335" s="631" t="s">
        <v>184</v>
      </c>
      <c r="M335" s="631"/>
      <c r="O335" s="634" t="str">
        <f>A223</f>
        <v>p29-2G 110G250</v>
      </c>
      <c r="P335" s="635"/>
      <c r="R335" s="642" t="str">
        <f>A274</f>
        <v>Chamois</v>
      </c>
      <c r="S335" s="642"/>
    </row>
    <row r="336" spans="1:19" x14ac:dyDescent="0.2">
      <c r="A336" s="398" t="str">
        <v xml:space="preserve"> </v>
      </c>
      <c r="C336" s="630" t="s">
        <v>184</v>
      </c>
      <c r="D336" s="630"/>
      <c r="F336" s="630" t="s">
        <v>184</v>
      </c>
      <c r="G336" s="630"/>
      <c r="I336" s="631" t="s">
        <v>184</v>
      </c>
      <c r="J336" s="631"/>
      <c r="L336" s="631" t="s">
        <v>184</v>
      </c>
      <c r="M336" s="631"/>
      <c r="O336" s="634" t="str">
        <f>A228</f>
        <v>p29-2G 116G126</v>
      </c>
      <c r="P336" s="635"/>
      <c r="R336" s="642" t="str">
        <f>A284</f>
        <v>Pro75-2G</v>
      </c>
      <c r="S336" s="642"/>
    </row>
    <row r="337" spans="1:19" x14ac:dyDescent="0.2">
      <c r="A337" s="398" t="str">
        <v xml:space="preserve"> </v>
      </c>
      <c r="C337" s="630" t="s">
        <v>184</v>
      </c>
      <c r="D337" s="630"/>
      <c r="F337" s="630" t="s">
        <v>184</v>
      </c>
      <c r="G337" s="630"/>
      <c r="I337" s="631" t="s">
        <v>184</v>
      </c>
      <c r="J337" s="631"/>
      <c r="L337" s="631" t="s">
        <v>184</v>
      </c>
      <c r="M337" s="631"/>
      <c r="O337" s="634" t="str">
        <f>A233</f>
        <v>p29-3G 125G131</v>
      </c>
      <c r="P337" s="635"/>
      <c r="R337" s="642" t="str">
        <f>A294</f>
        <v>Pro98-2G WT</v>
      </c>
      <c r="S337" s="642"/>
    </row>
    <row r="338" spans="1:19" x14ac:dyDescent="0.2">
      <c r="A338" s="398" t="str">
        <v xml:space="preserve"> </v>
      </c>
      <c r="C338" s="630" t="s">
        <v>184</v>
      </c>
      <c r="D338" s="630"/>
      <c r="F338" s="630" t="s">
        <v>184</v>
      </c>
      <c r="G338" s="630"/>
      <c r="I338" s="631" t="s">
        <v>184</v>
      </c>
      <c r="J338" s="631"/>
      <c r="L338" s="631" t="s">
        <v>184</v>
      </c>
      <c r="M338" s="631"/>
      <c r="O338" s="634" t="str">
        <f>A248</f>
        <v>p38-1G 128G185</v>
      </c>
      <c r="P338" s="635"/>
      <c r="R338" s="642" t="str">
        <f>A299</f>
        <v>Pro98-3G WT</v>
      </c>
      <c r="S338" s="642"/>
    </row>
    <row r="339" spans="1:19" x14ac:dyDescent="0.2">
      <c r="A339" s="398" t="str">
        <v xml:space="preserve"> </v>
      </c>
      <c r="C339" s="630" t="s">
        <v>184</v>
      </c>
      <c r="D339" s="630"/>
      <c r="F339" s="630" t="s">
        <v>184</v>
      </c>
      <c r="G339" s="630"/>
      <c r="I339" s="631" t="s">
        <v>184</v>
      </c>
      <c r="J339" s="631"/>
      <c r="L339" s="631" t="s">
        <v>184</v>
      </c>
      <c r="M339" s="631"/>
      <c r="O339" s="634" t="str">
        <f>A243</f>
        <v>p38-1G 137G58</v>
      </c>
      <c r="P339" s="635"/>
      <c r="R339" s="642" t="str">
        <f>A309</f>
        <v>Aucun (2e ét. inerte)</v>
      </c>
      <c r="S339" s="642"/>
    </row>
    <row r="340" spans="1:19" x14ac:dyDescent="0.2">
      <c r="A340" s="398" t="str">
        <v xml:space="preserve"> </v>
      </c>
      <c r="C340" s="630" t="s">
        <v>184</v>
      </c>
      <c r="D340" s="630"/>
      <c r="F340" s="630" t="s">
        <v>184</v>
      </c>
      <c r="G340" s="630"/>
      <c r="I340" s="631" t="s">
        <v>184</v>
      </c>
      <c r="J340" s="631"/>
      <c r="L340" s="631" t="s">
        <v>184</v>
      </c>
      <c r="M340" s="631"/>
      <c r="O340" s="634" t="str">
        <f>A253</f>
        <v>p38-1G 141G78</v>
      </c>
      <c r="P340" s="635"/>
      <c r="R340" s="631" t="s">
        <v>184</v>
      </c>
      <c r="S340" s="631"/>
    </row>
    <row r="341" spans="1:19" x14ac:dyDescent="0.2">
      <c r="A341" s="398" t="str">
        <v xml:space="preserve"> </v>
      </c>
      <c r="C341" s="630" t="s">
        <v>184</v>
      </c>
      <c r="D341" s="630"/>
      <c r="F341" s="630" t="s">
        <v>184</v>
      </c>
      <c r="G341" s="630"/>
      <c r="I341" s="630" t="s">
        <v>184</v>
      </c>
      <c r="J341" s="630"/>
      <c r="L341" s="631" t="s">
        <v>184</v>
      </c>
      <c r="M341" s="631"/>
      <c r="O341" s="634" t="str">
        <f>A193</f>
        <v>p24-6G 140G145 PK</v>
      </c>
      <c r="P341" s="635"/>
      <c r="R341" s="630" t="s">
        <v>184</v>
      </c>
      <c r="S341" s="630"/>
    </row>
    <row r="342" spans="1:19" x14ac:dyDescent="0.2">
      <c r="A342" s="398" t="str">
        <v xml:space="preserve"> </v>
      </c>
      <c r="C342" s="630" t="s">
        <v>184</v>
      </c>
      <c r="D342" s="630"/>
      <c r="F342" s="630" t="s">
        <v>184</v>
      </c>
      <c r="G342" s="630"/>
      <c r="I342" s="630" t="s">
        <v>184</v>
      </c>
      <c r="J342" s="630"/>
      <c r="L342" s="631" t="s">
        <v>184</v>
      </c>
      <c r="M342" s="631"/>
      <c r="O342" s="634" t="str">
        <f>A198</f>
        <v>Pandora (Pro24-6G BS)</v>
      </c>
      <c r="P342" s="635"/>
      <c r="R342" s="630" t="s">
        <v>184</v>
      </c>
      <c r="S342" s="630"/>
    </row>
    <row r="343" spans="1:19" x14ac:dyDescent="0.2">
      <c r="A343" s="398" t="str">
        <v xml:space="preserve"> </v>
      </c>
      <c r="C343" s="630" t="s">
        <v>184</v>
      </c>
      <c r="D343" s="630"/>
      <c r="F343" s="630" t="s">
        <v>184</v>
      </c>
      <c r="G343" s="630"/>
      <c r="I343" s="630" t="s">
        <v>184</v>
      </c>
      <c r="J343" s="630"/>
      <c r="L343" s="630" t="s">
        <v>184</v>
      </c>
      <c r="M343" s="630"/>
      <c r="O343" s="636" t="str">
        <f>A203</f>
        <v>p24-6G 142G117 WT</v>
      </c>
      <c r="P343" s="637"/>
      <c r="R343" s="630" t="s">
        <v>184</v>
      </c>
      <c r="S343" s="630"/>
    </row>
    <row r="344" spans="1:19" x14ac:dyDescent="0.2">
      <c r="A344" s="398" t="str">
        <v xml:space="preserve"> </v>
      </c>
      <c r="C344" s="630" t="s">
        <v>184</v>
      </c>
      <c r="D344" s="630"/>
      <c r="F344" s="630" t="s">
        <v>184</v>
      </c>
      <c r="G344" s="630"/>
      <c r="I344" s="630" t="s">
        <v>184</v>
      </c>
      <c r="J344" s="630"/>
      <c r="L344" s="630" t="s">
        <v>184</v>
      </c>
      <c r="M344" s="630"/>
      <c r="O344" s="636" t="str">
        <f>A208</f>
        <v>p24-6G 139G107 DT</v>
      </c>
      <c r="P344" s="637"/>
      <c r="R344" s="630" t="s">
        <v>184</v>
      </c>
      <c r="S344" s="630"/>
    </row>
    <row r="345" spans="1:19" x14ac:dyDescent="0.2">
      <c r="A345" s="398" t="str">
        <v xml:space="preserve"> </v>
      </c>
      <c r="C345" s="630" t="s">
        <v>184</v>
      </c>
      <c r="D345" s="630"/>
      <c r="F345" s="630" t="s">
        <v>184</v>
      </c>
      <c r="G345" s="630"/>
      <c r="I345" s="630" t="s">
        <v>184</v>
      </c>
      <c r="J345" s="630"/>
      <c r="L345" s="630" t="s">
        <v>184</v>
      </c>
      <c r="M345" s="630"/>
      <c r="O345" s="636" t="str">
        <f>A263</f>
        <v>Cariacou</v>
      </c>
      <c r="P345" s="637"/>
      <c r="R345" s="630" t="s">
        <v>184</v>
      </c>
      <c r="S345" s="630"/>
    </row>
    <row r="346" spans="1:19" x14ac:dyDescent="0.2">
      <c r="A346" s="474" t="str">
        <v xml:space="preserve"> </v>
      </c>
      <c r="C346" s="630" t="s">
        <v>184</v>
      </c>
      <c r="D346" s="630"/>
      <c r="F346" s="630" t="s">
        <v>184</v>
      </c>
      <c r="G346" s="630"/>
      <c r="I346" s="630" t="s">
        <v>184</v>
      </c>
      <c r="J346" s="630"/>
      <c r="L346" s="630" t="s">
        <v>184</v>
      </c>
      <c r="M346" s="630"/>
      <c r="O346" s="644" t="str">
        <f>A258</f>
        <v>Wapiti</v>
      </c>
      <c r="P346" s="645"/>
      <c r="R346" s="630" t="s">
        <v>184</v>
      </c>
      <c r="S346" s="630"/>
    </row>
  </sheetData>
  <sheetProtection password="C6AC" sheet="1" objects="1" scenarios="1"/>
  <dataConsolidate/>
  <mergeCells count="186">
    <mergeCell ref="R346:S346"/>
    <mergeCell ref="R342:S342"/>
    <mergeCell ref="F342:G342"/>
    <mergeCell ref="F343:G343"/>
    <mergeCell ref="F344:G344"/>
    <mergeCell ref="F345:G345"/>
    <mergeCell ref="F346:G346"/>
    <mergeCell ref="O346:P346"/>
    <mergeCell ref="L345:M345"/>
    <mergeCell ref="L346:M346"/>
    <mergeCell ref="I344:J344"/>
    <mergeCell ref="I346:J346"/>
    <mergeCell ref="I345:J345"/>
    <mergeCell ref="R340:S340"/>
    <mergeCell ref="R341:S341"/>
    <mergeCell ref="R343:S343"/>
    <mergeCell ref="R344:S344"/>
    <mergeCell ref="R345:S345"/>
    <mergeCell ref="O345:P345"/>
    <mergeCell ref="O340:P340"/>
    <mergeCell ref="R339:S339"/>
    <mergeCell ref="F332:G332"/>
    <mergeCell ref="O343:P343"/>
    <mergeCell ref="R338:S338"/>
    <mergeCell ref="R336:S336"/>
    <mergeCell ref="R337:S337"/>
    <mergeCell ref="R334:S334"/>
    <mergeCell ref="F341:G341"/>
    <mergeCell ref="O342:P342"/>
    <mergeCell ref="O335:P335"/>
    <mergeCell ref="O334:P334"/>
    <mergeCell ref="O339:P339"/>
    <mergeCell ref="O344:P344"/>
    <mergeCell ref="R335:S335"/>
    <mergeCell ref="R333:S333"/>
    <mergeCell ref="I337:J337"/>
    <mergeCell ref="I338:J338"/>
    <mergeCell ref="F336:G336"/>
    <mergeCell ref="F337:G337"/>
    <mergeCell ref="O327:P327"/>
    <mergeCell ref="O333:P333"/>
    <mergeCell ref="L328:M328"/>
    <mergeCell ref="I336:J336"/>
    <mergeCell ref="O332:P332"/>
    <mergeCell ref="L333:M333"/>
    <mergeCell ref="I341:J341"/>
    <mergeCell ref="O337:P337"/>
    <mergeCell ref="F339:G339"/>
    <mergeCell ref="F340:G340"/>
    <mergeCell ref="O338:P338"/>
    <mergeCell ref="O336:P336"/>
    <mergeCell ref="I328:J328"/>
    <mergeCell ref="I329:J329"/>
    <mergeCell ref="I330:J330"/>
    <mergeCell ref="I331:J331"/>
    <mergeCell ref="I335:J335"/>
    <mergeCell ref="L337:M337"/>
    <mergeCell ref="O341:P341"/>
    <mergeCell ref="L334:M334"/>
    <mergeCell ref="F329:G329"/>
    <mergeCell ref="F330:G330"/>
    <mergeCell ref="F331:G331"/>
    <mergeCell ref="F324:G324"/>
    <mergeCell ref="F321:G321"/>
    <mergeCell ref="F320:G320"/>
    <mergeCell ref="O323:P323"/>
    <mergeCell ref="O320:P320"/>
    <mergeCell ref="O319:P319"/>
    <mergeCell ref="O324:P324"/>
    <mergeCell ref="F319:G319"/>
    <mergeCell ref="O322:P322"/>
    <mergeCell ref="I320:J320"/>
    <mergeCell ref="L319:M319"/>
    <mergeCell ref="L326:M326"/>
    <mergeCell ref="L327:M327"/>
    <mergeCell ref="L321:M321"/>
    <mergeCell ref="L322:M322"/>
    <mergeCell ref="O325:P325"/>
    <mergeCell ref="O330:P330"/>
    <mergeCell ref="F327:G327"/>
    <mergeCell ref="F326:G326"/>
    <mergeCell ref="L316:M316"/>
    <mergeCell ref="C327:D327"/>
    <mergeCell ref="C326:D326"/>
    <mergeCell ref="C325:D325"/>
    <mergeCell ref="C324:D324"/>
    <mergeCell ref="C323:D323"/>
    <mergeCell ref="C322:D322"/>
    <mergeCell ref="O316:P316"/>
    <mergeCell ref="F318:G318"/>
    <mergeCell ref="F317:G317"/>
    <mergeCell ref="O318:P318"/>
    <mergeCell ref="O317:P317"/>
    <mergeCell ref="L318:M318"/>
    <mergeCell ref="C316:D316"/>
    <mergeCell ref="C317:D317"/>
    <mergeCell ref="C318:D318"/>
    <mergeCell ref="C319:D319"/>
    <mergeCell ref="C320:D320"/>
    <mergeCell ref="F316:G316"/>
    <mergeCell ref="L320:M320"/>
    <mergeCell ref="I316:J316"/>
    <mergeCell ref="I317:J317"/>
    <mergeCell ref="I318:J318"/>
    <mergeCell ref="I319:J319"/>
    <mergeCell ref="L317:M317"/>
    <mergeCell ref="C332:D332"/>
    <mergeCell ref="R322:S322"/>
    <mergeCell ref="R328:S328"/>
    <mergeCell ref="R332:S332"/>
    <mergeCell ref="F328:G328"/>
    <mergeCell ref="F322:G322"/>
    <mergeCell ref="O326:P326"/>
    <mergeCell ref="F323:G323"/>
    <mergeCell ref="O331:P331"/>
    <mergeCell ref="R330:S330"/>
    <mergeCell ref="R329:S329"/>
    <mergeCell ref="O329:P329"/>
    <mergeCell ref="R331:S331"/>
    <mergeCell ref="L331:M331"/>
    <mergeCell ref="L332:M332"/>
    <mergeCell ref="L329:M329"/>
    <mergeCell ref="L330:M330"/>
    <mergeCell ref="L325:M325"/>
    <mergeCell ref="C329:D329"/>
    <mergeCell ref="C330:D330"/>
    <mergeCell ref="I332:J332"/>
    <mergeCell ref="C331:D331"/>
    <mergeCell ref="F325:G325"/>
    <mergeCell ref="R316:S316"/>
    <mergeCell ref="R317:S317"/>
    <mergeCell ref="R318:S318"/>
    <mergeCell ref="R319:S319"/>
    <mergeCell ref="R320:S320"/>
    <mergeCell ref="C328:D328"/>
    <mergeCell ref="O328:P328"/>
    <mergeCell ref="R327:S327"/>
    <mergeCell ref="R326:S326"/>
    <mergeCell ref="C321:D321"/>
    <mergeCell ref="O321:P321"/>
    <mergeCell ref="R321:S321"/>
    <mergeCell ref="R325:S325"/>
    <mergeCell ref="R324:S324"/>
    <mergeCell ref="R323:S323"/>
    <mergeCell ref="I321:J321"/>
    <mergeCell ref="I322:J322"/>
    <mergeCell ref="I323:J323"/>
    <mergeCell ref="I324:J324"/>
    <mergeCell ref="I325:J325"/>
    <mergeCell ref="I326:J326"/>
    <mergeCell ref="I327:J327"/>
    <mergeCell ref="L323:M323"/>
    <mergeCell ref="L324:M324"/>
    <mergeCell ref="C345:D345"/>
    <mergeCell ref="C346:D346"/>
    <mergeCell ref="C335:D335"/>
    <mergeCell ref="C336:D336"/>
    <mergeCell ref="C337:D337"/>
    <mergeCell ref="C338:D338"/>
    <mergeCell ref="C339:D339"/>
    <mergeCell ref="C340:D340"/>
    <mergeCell ref="C334:D334"/>
    <mergeCell ref="C333:D333"/>
    <mergeCell ref="L343:M343"/>
    <mergeCell ref="L344:M344"/>
    <mergeCell ref="F338:G338"/>
    <mergeCell ref="C341:D341"/>
    <mergeCell ref="C342:D342"/>
    <mergeCell ref="C343:D343"/>
    <mergeCell ref="I342:J342"/>
    <mergeCell ref="I343:J343"/>
    <mergeCell ref="L341:M341"/>
    <mergeCell ref="L342:M342"/>
    <mergeCell ref="C344:D344"/>
    <mergeCell ref="L338:M338"/>
    <mergeCell ref="F333:G333"/>
    <mergeCell ref="L335:M335"/>
    <mergeCell ref="L336:M336"/>
    <mergeCell ref="I333:J333"/>
    <mergeCell ref="I334:J334"/>
    <mergeCell ref="L339:M339"/>
    <mergeCell ref="L340:M340"/>
    <mergeCell ref="I340:J340"/>
    <mergeCell ref="I339:J339"/>
    <mergeCell ref="F334:G334"/>
    <mergeCell ref="F335:G335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 r:id="rId1"/>
  <headerFooter alignWithMargins="0"/>
  <ignoredErrors>
    <ignoredError sqref="R317:S318 C317:D324 F317:G321 O322:P339 O342:P342 R334:S339 O340:O341 O317:P319 O320:P321 P341 M324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IN1075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219" sqref="B219"/>
    </sheetView>
  </sheetViews>
  <sheetFormatPr baseColWidth="10" defaultColWidth="11.42578125" defaultRowHeight="12.75" x14ac:dyDescent="0.2"/>
  <cols>
    <col min="1" max="1" width="4.42578125" style="7" bestFit="1" customWidth="1"/>
    <col min="2" max="2" width="6" style="7" bestFit="1" customWidth="1"/>
    <col min="3" max="3" width="1.42578125" style="8" customWidth="1"/>
    <col min="4" max="4" width="7.140625" style="7" customWidth="1"/>
    <col min="5" max="6" width="7.42578125" style="7" customWidth="1"/>
    <col min="7" max="7" width="7.140625" style="7" customWidth="1"/>
    <col min="8" max="8" width="7.42578125" style="7" customWidth="1"/>
    <col min="9" max="9" width="7.140625" style="7" customWidth="1"/>
    <col min="10" max="12" width="7.42578125" style="7" bestFit="1" customWidth="1"/>
    <col min="13" max="13" width="5.7109375" style="7" customWidth="1"/>
    <col min="14" max="14" width="6.42578125" style="7" customWidth="1"/>
    <col min="15" max="15" width="1.42578125" style="8" customWidth="1"/>
    <col min="16" max="16" width="4" style="7" customWidth="1"/>
    <col min="17" max="17" width="8.4257812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425781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4257812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42578125" style="7" customWidth="1"/>
    <col min="239" max="239" width="11" style="7" customWidth="1"/>
  </cols>
  <sheetData>
    <row r="1" spans="1:248" ht="13.5" thickBot="1" x14ac:dyDescent="0.25">
      <c r="D1" s="646" t="s">
        <v>266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186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193</v>
      </c>
      <c r="E2" s="335" t="s">
        <v>194</v>
      </c>
      <c r="F2" s="331" t="s">
        <v>195</v>
      </c>
      <c r="G2" s="334" t="s">
        <v>190</v>
      </c>
      <c r="H2" s="335" t="s">
        <v>191</v>
      </c>
      <c r="I2" s="331" t="s">
        <v>192</v>
      </c>
      <c r="J2" s="334" t="s">
        <v>187</v>
      </c>
      <c r="K2" s="335" t="s">
        <v>188</v>
      </c>
      <c r="L2" s="331" t="s">
        <v>189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185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154</v>
      </c>
      <c r="B3" s="333" t="s">
        <v>154</v>
      </c>
      <c r="C3" s="10"/>
      <c r="D3" s="336" t="s">
        <v>7</v>
      </c>
      <c r="E3" s="337" t="s">
        <v>7</v>
      </c>
      <c r="F3" s="333" t="s">
        <v>7</v>
      </c>
      <c r="G3" s="336" t="s">
        <v>155</v>
      </c>
      <c r="H3" s="337" t="s">
        <v>155</v>
      </c>
      <c r="I3" s="333" t="s">
        <v>155</v>
      </c>
      <c r="J3" s="336" t="s">
        <v>39</v>
      </c>
      <c r="K3" s="337" t="s">
        <v>39</v>
      </c>
      <c r="L3" s="333" t="s">
        <v>39</v>
      </c>
      <c r="M3" s="332" t="s">
        <v>244</v>
      </c>
      <c r="N3" s="333" t="s">
        <v>156</v>
      </c>
      <c r="O3" s="10"/>
      <c r="P3" s="336" t="s">
        <v>14</v>
      </c>
      <c r="Q3" s="339" t="s">
        <v>227</v>
      </c>
      <c r="R3" s="336" t="s">
        <v>245</v>
      </c>
      <c r="S3" s="340" t="s">
        <v>228</v>
      </c>
      <c r="T3" s="339" t="s">
        <v>227</v>
      </c>
      <c r="U3" s="341" t="s">
        <v>227</v>
      </c>
      <c r="V3" s="336" t="s">
        <v>8</v>
      </c>
      <c r="W3" s="339" t="s">
        <v>227</v>
      </c>
      <c r="X3" s="11"/>
      <c r="Y3" s="342"/>
      <c r="Z3" s="343"/>
      <c r="AA3" s="344"/>
      <c r="AC3" s="336" t="s">
        <v>154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10.7</v>
      </c>
      <c r="D4" s="292" t="s">
        <v>14</v>
      </c>
      <c r="E4" s="293" t="s">
        <v>14</v>
      </c>
      <c r="F4" s="294" t="s">
        <v>14</v>
      </c>
      <c r="G4" s="292">
        <f>vit_xz*COS(Beta)</f>
        <v>22.590604976223208</v>
      </c>
      <c r="H4" s="293">
        <f>vit_xz*SIN(Beta)</f>
        <v>136.0167598746869</v>
      </c>
      <c r="I4" s="349">
        <f>V_ini</f>
        <v>137.88</v>
      </c>
      <c r="J4" s="350">
        <f>X_ini</f>
        <v>249.76</v>
      </c>
      <c r="K4" s="351">
        <f>Z_ini</f>
        <v>1962.62</v>
      </c>
      <c r="L4" s="327">
        <f t="shared" ref="L4:L67" si="0">SQRT(pos_x^2+pos_z^2)</f>
        <v>1978.4482105933428</v>
      </c>
      <c r="M4" s="292">
        <f>RADIANS(N4)</f>
        <v>1.4062117783318313</v>
      </c>
      <c r="N4" s="349">
        <f>Beta_rampe</f>
        <v>80.569999999999993</v>
      </c>
      <c r="P4" s="292" t="s">
        <v>14</v>
      </c>
      <c r="Q4" s="294" t="s">
        <v>14</v>
      </c>
      <c r="R4" s="292" t="s">
        <v>14</v>
      </c>
      <c r="S4" s="351">
        <f ca="1">m_tot</f>
        <v>1.8598999999999999</v>
      </c>
      <c r="T4" s="327">
        <f t="shared" ref="T4:T67" ca="1" si="1">m*g</f>
        <v>18.245619000000001</v>
      </c>
      <c r="U4" s="328">
        <f t="shared" ref="U4:U67" si="2">IF(pos_xz&lt;L_rampe,Poids*COS(Beta),0)</f>
        <v>0</v>
      </c>
      <c r="V4" s="329">
        <f t="shared" ref="V4:V67" si="3">Rho_moyen*(20000-Alt_rampe-pos_z)/(20000+Alt_rampe+pos_z)</f>
        <v>1.0060635069950672</v>
      </c>
      <c r="W4" s="327">
        <f t="shared" ref="W4:W67" si="4">1/2*Rho*Sref*Cx*vit_xz^2</f>
        <v>25.674084760945568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-1</v>
      </c>
      <c r="AD4" s="321">
        <f>IF(ABS(t-ROUND(t,0))&lt;0.001,pos_x,-1)</f>
        <v>-1</v>
      </c>
      <c r="AE4" s="322">
        <f t="shared" ref="AE4:AE67" si="5">IF(t&lt;T_para, pos_z, NA())</f>
        <v>1962.62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10.709999999999999</v>
      </c>
      <c r="D5" s="306">
        <f t="shared" ref="D5:D68" ca="1" si="8">IF(AND(L4&lt;L_rampe,Poussee&lt;Poids*SIN(M4)),0,(-W4+Poussee)/m*COS(M4)-U4/m*SIN(M4))</f>
        <v>3.2446511189762446</v>
      </c>
      <c r="E5" s="307">
        <f t="shared" ref="E5:E68" ca="1" si="9">IF(AND(L4&lt;L_rampe,Poussee&lt;Poids*SIN(M4)),0,(-W4+Poussee)/m*SIN(M4)+U4/m*COS(M4)-Poids/m)</f>
        <v>9.7258615934113397</v>
      </c>
      <c r="F5" s="304">
        <f t="shared" ref="F5:F68" ca="1" si="10">SQRT(acc_x^2+acc_z^2)</f>
        <v>10.252811546988834</v>
      </c>
      <c r="G5" s="306">
        <f t="shared" ref="G5:G68" ca="1" si="11">G4+acc_x*pas</f>
        <v>22.623051487412969</v>
      </c>
      <c r="H5" s="307">
        <f t="shared" ref="H5:H68" ca="1" si="12">H4+acc_z*pas</f>
        <v>136.11401849062102</v>
      </c>
      <c r="I5" s="304">
        <f t="shared" ref="I5:I68" ca="1" si="13">SQRT(vit_x^2+vit_z^2)</f>
        <v>137.98126136641619</v>
      </c>
      <c r="J5" s="306">
        <f t="shared" ref="J5:J68" ca="1" si="14">J4+0.5*(vit_x+G4)*pas*(K4&gt;=0)</f>
        <v>249.98606828231817</v>
      </c>
      <c r="K5" s="307">
        <f t="shared" ref="K5:K68" ca="1" si="15">K4+0.5*(vit_z+H4)*pas</f>
        <v>1963.9806538918265</v>
      </c>
      <c r="L5" s="304">
        <f t="shared" ca="1" si="0"/>
        <v>1979.8265184597913</v>
      </c>
      <c r="M5" s="306">
        <f t="shared" ref="M5:M68" ca="1" si="16">IF(AND(L4&gt;L_rampe,G5&gt;0),ATAN2(G5,H5),$M$4)</f>
        <v>1.4060952918619085</v>
      </c>
      <c r="N5" s="304">
        <f t="shared" ref="N5:N68" ca="1" si="17">DEGREES(Beta)</f>
        <v>80.563325816903046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62.499999999987566</v>
      </c>
      <c r="R5" s="306">
        <f t="shared" ref="R5:R68" ca="1" si="20">Poussee/(g*ISP)</f>
        <v>3.3171861836556162E-2</v>
      </c>
      <c r="S5" s="307">
        <f t="shared" ref="S5:S68" ca="1" si="21">S4-Débit*pas</f>
        <v>1.8595682813816343</v>
      </c>
      <c r="T5" s="304">
        <f t="shared" ca="1" si="1"/>
        <v>18.242364840353833</v>
      </c>
      <c r="U5" s="311">
        <f t="shared" ca="1" si="2"/>
        <v>0</v>
      </c>
      <c r="V5" s="306">
        <f t="shared" ca="1" si="3"/>
        <v>1.005925294104993</v>
      </c>
      <c r="W5" s="304">
        <f t="shared" ca="1" si="4"/>
        <v>25.708277273414776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1963.9806538918265</v>
      </c>
      <c r="AG5" s="306">
        <f t="shared" ref="AG5:AG68" ca="1" si="27">IF(AND(L4&lt;L_rampe,Poussee&lt;Poids*SIN(M4)),0,(-W4+Poussee)/m-Poids*SIN(M4)/m)</f>
        <v>10.126043027559639</v>
      </c>
      <c r="AH5" s="304">
        <f t="shared" ref="AH5:AH68" ca="1" si="28">IF(AND(L4&lt;L_rampe,Poussee&lt;Poids*SIN(M4)), g*SIN(M4), (-W4+Poussee)/m)</f>
        <v>19.803475681829138</v>
      </c>
    </row>
    <row r="6" spans="1:248" x14ac:dyDescent="0.2">
      <c r="A6" s="347">
        <f t="shared" ca="1" si="6"/>
        <v>0.01</v>
      </c>
      <c r="B6" s="304">
        <f t="shared" ca="1" si="7"/>
        <v>10.719999999999999</v>
      </c>
      <c r="D6" s="306">
        <f t="shared" ca="1" si="8"/>
        <v>14.272751991018112</v>
      </c>
      <c r="E6" s="307">
        <f t="shared" ca="1" si="9"/>
        <v>76.063544932626797</v>
      </c>
      <c r="F6" s="304">
        <f t="shared" ca="1" si="10"/>
        <v>77.391048042489047</v>
      </c>
      <c r="G6" s="306">
        <f t="shared" ca="1" si="11"/>
        <v>22.76577900732315</v>
      </c>
      <c r="H6" s="307">
        <f t="shared" ca="1" si="12"/>
        <v>136.87465393994728</v>
      </c>
      <c r="I6" s="304">
        <f t="shared" ca="1" si="13"/>
        <v>138.75500562138507</v>
      </c>
      <c r="J6" s="306">
        <f t="shared" ca="1" si="14"/>
        <v>250.21301243479186</v>
      </c>
      <c r="K6" s="307">
        <f t="shared" ca="1" si="15"/>
        <v>1965.3455972539793</v>
      </c>
      <c r="L6" s="304">
        <f t="shared" ca="1" si="0"/>
        <v>1981.2091934566865</v>
      </c>
      <c r="M6" s="306">
        <f t="shared" ca="1" si="16"/>
        <v>1.4059793737170436</v>
      </c>
      <c r="N6" s="304">
        <f t="shared" ca="1" si="17"/>
        <v>80.556684196433309</v>
      </c>
      <c r="P6" s="310">
        <f t="shared" ca="1" si="18"/>
        <v>1</v>
      </c>
      <c r="Q6" s="304">
        <f t="shared" ca="1" si="19"/>
        <v>187.49999999998491</v>
      </c>
      <c r="R6" s="306">
        <f t="shared" ca="1" si="20"/>
        <v>9.9515585509680274E-2</v>
      </c>
      <c r="S6" s="307">
        <f t="shared" ca="1" si="21"/>
        <v>1.8585731255265374</v>
      </c>
      <c r="T6" s="304">
        <f t="shared" ca="1" si="1"/>
        <v>18.232602361415331</v>
      </c>
      <c r="U6" s="311">
        <f t="shared" ca="1" si="2"/>
        <v>0</v>
      </c>
      <c r="V6" s="306">
        <f t="shared" ca="1" si="3"/>
        <v>1.0057866627022609</v>
      </c>
      <c r="W6" s="304">
        <f t="shared" ca="1" si="4"/>
        <v>25.993826518026623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1965.3455972539793</v>
      </c>
      <c r="AG6" s="306">
        <f t="shared" ca="1" si="27"/>
        <v>77.374332274223946</v>
      </c>
      <c r="AH6" s="304">
        <f t="shared" ca="1" si="28"/>
        <v>87.051577634715997</v>
      </c>
    </row>
    <row r="7" spans="1:248" x14ac:dyDescent="0.2">
      <c r="A7" s="347">
        <f t="shared" ca="1" si="6"/>
        <v>0.01</v>
      </c>
      <c r="B7" s="304">
        <f t="shared" ca="1" si="7"/>
        <v>10.729999999999999</v>
      </c>
      <c r="D7" s="306">
        <f t="shared" ca="1" si="8"/>
        <v>18.905068571702948</v>
      </c>
      <c r="E7" s="307">
        <f t="shared" ca="1" si="9"/>
        <v>103.85291123314708</v>
      </c>
      <c r="F7" s="304">
        <f t="shared" ca="1" si="10"/>
        <v>105.55959828125872</v>
      </c>
      <c r="G7" s="306">
        <f t="shared" ca="1" si="11"/>
        <v>22.954829693040178</v>
      </c>
      <c r="H7" s="307">
        <f t="shared" ca="1" si="12"/>
        <v>137.91318305227875</v>
      </c>
      <c r="I7" s="304">
        <f t="shared" ca="1" si="13"/>
        <v>139.81047981409628</v>
      </c>
      <c r="J7" s="306">
        <f t="shared" ca="1" si="14"/>
        <v>250.44161547829367</v>
      </c>
      <c r="K7" s="307">
        <f t="shared" ca="1" si="15"/>
        <v>1966.7195364389404</v>
      </c>
      <c r="L7" s="304">
        <f t="shared" ca="1" si="0"/>
        <v>1982.6010031708292</v>
      </c>
      <c r="M7" s="306">
        <f t="shared" ca="1" si="16"/>
        <v>1.4058642504413172</v>
      </c>
      <c r="N7" s="304">
        <f t="shared" ca="1" si="17"/>
        <v>80.550088118610461</v>
      </c>
      <c r="P7" s="310">
        <f t="shared" ca="1" si="18"/>
        <v>2</v>
      </c>
      <c r="Q7" s="304">
        <f t="shared" ca="1" si="19"/>
        <v>240.00000000000284</v>
      </c>
      <c r="R7" s="306">
        <f t="shared" ca="1" si="20"/>
        <v>0.1273799494524025</v>
      </c>
      <c r="S7" s="307">
        <f t="shared" ca="1" si="21"/>
        <v>1.8572993260320134</v>
      </c>
      <c r="T7" s="304">
        <f t="shared" ca="1" si="1"/>
        <v>18.220106388374052</v>
      </c>
      <c r="U7" s="311">
        <f t="shared" ca="1" si="2"/>
        <v>0</v>
      </c>
      <c r="V7" s="306">
        <f t="shared" ca="1" si="3"/>
        <v>1.005647135031591</v>
      </c>
      <c r="W7" s="304">
        <f t="shared" ca="1" si="4"/>
        <v>26.387126441052317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1966.7195364389404</v>
      </c>
      <c r="AG7" s="306">
        <f t="shared" ca="1" si="27"/>
        <v>105.54732662313131</v>
      </c>
      <c r="AH7" s="304">
        <f t="shared" ca="1" si="28"/>
        <v>115.22438547328019</v>
      </c>
    </row>
    <row r="8" spans="1:248" x14ac:dyDescent="0.2">
      <c r="A8" s="347">
        <f t="shared" ca="1" si="6"/>
        <v>0.01</v>
      </c>
      <c r="B8" s="304">
        <f t="shared" ca="1" si="7"/>
        <v>10.739999999999998</v>
      </c>
      <c r="D8" s="306">
        <f t="shared" ca="1" si="8"/>
        <v>17.126152114851557</v>
      </c>
      <c r="E8" s="307">
        <f t="shared" ca="1" si="9"/>
        <v>93.084344378987964</v>
      </c>
      <c r="F8" s="304">
        <f t="shared" ca="1" si="10"/>
        <v>94.646712857484189</v>
      </c>
      <c r="G8" s="306">
        <f t="shared" ca="1" si="11"/>
        <v>23.126091214188694</v>
      </c>
      <c r="H8" s="307">
        <f t="shared" ca="1" si="12"/>
        <v>138.84402649606864</v>
      </c>
      <c r="I8" s="304">
        <f t="shared" ca="1" si="13"/>
        <v>140.75681080675272</v>
      </c>
      <c r="J8" s="306">
        <f t="shared" ca="1" si="14"/>
        <v>250.67202008282982</v>
      </c>
      <c r="K8" s="307">
        <f t="shared" ca="1" si="15"/>
        <v>1968.1033224866821</v>
      </c>
      <c r="L8" s="304">
        <f t="shared" ca="1" si="0"/>
        <v>1984.002809885995</v>
      </c>
      <c r="M8" s="306">
        <f t="shared" ca="1" si="16"/>
        <v>1.4057498220114257</v>
      </c>
      <c r="N8" s="304">
        <f t="shared" ca="1" si="17"/>
        <v>80.543531852521369</v>
      </c>
      <c r="P8" s="310">
        <f t="shared" ca="1" si="18"/>
        <v>2</v>
      </c>
      <c r="Q8" s="304">
        <f t="shared" ca="1" si="19"/>
        <v>220.00000000000327</v>
      </c>
      <c r="R8" s="306">
        <f t="shared" ca="1" si="20"/>
        <v>0.11676495366470264</v>
      </c>
      <c r="S8" s="307">
        <f t="shared" ca="1" si="21"/>
        <v>1.8561316764953664</v>
      </c>
      <c r="T8" s="304">
        <f t="shared" ca="1" si="1"/>
        <v>18.208651746419545</v>
      </c>
      <c r="U8" s="311">
        <f t="shared" ca="1" si="2"/>
        <v>0</v>
      </c>
      <c r="V8" s="306">
        <f t="shared" ca="1" si="3"/>
        <v>1.0055066250231675</v>
      </c>
      <c r="W8" s="304">
        <f t="shared" ca="1" si="4"/>
        <v>26.741809949597052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1968.1033224866821</v>
      </c>
      <c r="AG8" s="306">
        <f t="shared" ca="1" si="27"/>
        <v>94.633007113106743</v>
      </c>
      <c r="AH8" s="304">
        <f t="shared" ca="1" si="28"/>
        <v>104.30988060314712</v>
      </c>
    </row>
    <row r="9" spans="1:248" x14ac:dyDescent="0.2">
      <c r="A9" s="347">
        <f t="shared" ca="1" si="6"/>
        <v>0.01</v>
      </c>
      <c r="B9" s="304">
        <f t="shared" ca="1" si="7"/>
        <v>10.749999999999998</v>
      </c>
      <c r="D9" s="306">
        <f t="shared" ca="1" si="8"/>
        <v>16.192916077852228</v>
      </c>
      <c r="E9" s="307">
        <f t="shared" ca="1" si="9"/>
        <v>87.408749512780744</v>
      </c>
      <c r="F9" s="304">
        <f t="shared" ca="1" si="10"/>
        <v>88.896006785976681</v>
      </c>
      <c r="G9" s="306">
        <f t="shared" ca="1" si="11"/>
        <v>23.288020374967218</v>
      </c>
      <c r="H9" s="307">
        <f t="shared" ca="1" si="12"/>
        <v>139.71811399119645</v>
      </c>
      <c r="I9" s="304">
        <f t="shared" ca="1" si="13"/>
        <v>141.64562566575026</v>
      </c>
      <c r="J9" s="306">
        <f t="shared" ca="1" si="14"/>
        <v>250.90409064077559</v>
      </c>
      <c r="K9" s="307">
        <f t="shared" ca="1" si="15"/>
        <v>1969.4961331891184</v>
      </c>
      <c r="L9" s="304">
        <f t="shared" ca="1" si="0"/>
        <v>1985.4137808898083</v>
      </c>
      <c r="M9" s="306">
        <f t="shared" ca="1" si="16"/>
        <v>1.4056360334368054</v>
      </c>
      <c r="N9" s="304">
        <f t="shared" ca="1" si="17"/>
        <v>80.53701224743881</v>
      </c>
      <c r="P9" s="310">
        <f t="shared" ca="1" si="18"/>
        <v>3</v>
      </c>
      <c r="Q9" s="304">
        <f t="shared" ca="1" si="19"/>
        <v>209.56896551724154</v>
      </c>
      <c r="R9" s="306">
        <f t="shared" ca="1" si="20"/>
        <v>0.11122868430990915</v>
      </c>
      <c r="S9" s="307">
        <f t="shared" ca="1" si="21"/>
        <v>1.8550193896522673</v>
      </c>
      <c r="T9" s="304">
        <f t="shared" ca="1" si="1"/>
        <v>18.197740212488743</v>
      </c>
      <c r="U9" s="311">
        <f t="shared" ca="1" si="2"/>
        <v>0</v>
      </c>
      <c r="V9" s="306">
        <f t="shared" ca="1" si="3"/>
        <v>1.0053652165229292</v>
      </c>
      <c r="W9" s="304">
        <f t="shared" ca="1" si="4"/>
        <v>27.076792371318852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1969.4961331891184</v>
      </c>
      <c r="AG9" s="306">
        <f t="shared" ca="1" si="27"/>
        <v>88.881394199510197</v>
      </c>
      <c r="AH9" s="304">
        <f t="shared" ca="1" si="28"/>
        <v>98.558083321121714</v>
      </c>
    </row>
    <row r="10" spans="1:248" x14ac:dyDescent="0.2">
      <c r="A10" s="347">
        <f t="shared" ca="1" si="6"/>
        <v>0.01</v>
      </c>
      <c r="B10" s="304">
        <f t="shared" ca="1" si="7"/>
        <v>10.759999999999998</v>
      </c>
      <c r="D10" s="306">
        <f t="shared" ca="1" si="8"/>
        <v>16.107502120402849</v>
      </c>
      <c r="E10" s="307">
        <f t="shared" ca="1" si="9"/>
        <v>86.82809036301785</v>
      </c>
      <c r="F10" s="304">
        <f t="shared" ca="1" si="10"/>
        <v>88.309506286963099</v>
      </c>
      <c r="G10" s="306">
        <f t="shared" ca="1" si="11"/>
        <v>23.449095396171245</v>
      </c>
      <c r="H10" s="307">
        <f t="shared" ca="1" si="12"/>
        <v>140.58639489482661</v>
      </c>
      <c r="I10" s="304">
        <f t="shared" ca="1" si="13"/>
        <v>142.5285743436132</v>
      </c>
      <c r="J10" s="306">
        <f t="shared" ca="1" si="14"/>
        <v>251.13777621963129</v>
      </c>
      <c r="K10" s="307">
        <f t="shared" ca="1" si="15"/>
        <v>1970.8976557335484</v>
      </c>
      <c r="L10" s="304">
        <f t="shared" ca="1" si="0"/>
        <v>1986.8335994794677</v>
      </c>
      <c r="M10" s="306">
        <f t="shared" ca="1" si="16"/>
        <v>1.4055228725160438</v>
      </c>
      <c r="N10" s="304">
        <f t="shared" ca="1" si="17"/>
        <v>80.530528604273357</v>
      </c>
      <c r="P10" s="310">
        <f t="shared" ca="1" si="18"/>
        <v>3</v>
      </c>
      <c r="Q10" s="304">
        <f t="shared" ca="1" si="19"/>
        <v>208.70689655172433</v>
      </c>
      <c r="R10" s="306">
        <f t="shared" ca="1" si="20"/>
        <v>0.11077114138802553</v>
      </c>
      <c r="S10" s="307">
        <f t="shared" ca="1" si="21"/>
        <v>1.8539116782383871</v>
      </c>
      <c r="T10" s="304">
        <f t="shared" ca="1" si="1"/>
        <v>18.186873563518578</v>
      </c>
      <c r="U10" s="311">
        <f t="shared" ca="1" si="2"/>
        <v>0</v>
      </c>
      <c r="V10" s="306">
        <f t="shared" ca="1" si="3"/>
        <v>1.0052229416290104</v>
      </c>
      <c r="W10" s="304">
        <f t="shared" ca="1" si="4"/>
        <v>27.411531400425353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1970.8976557335484</v>
      </c>
      <c r="AG10" s="306">
        <f t="shared" ca="1" si="27"/>
        <v>88.294776529564757</v>
      </c>
      <c r="AH10" s="304">
        <f t="shared" ca="1" si="28"/>
        <v>97.971282188045208</v>
      </c>
    </row>
    <row r="11" spans="1:248" x14ac:dyDescent="0.2">
      <c r="A11" s="347">
        <f t="shared" ca="1" si="6"/>
        <v>0.01</v>
      </c>
      <c r="B11" s="304">
        <f t="shared" ca="1" si="7"/>
        <v>10.769999999999998</v>
      </c>
      <c r="D11" s="306">
        <f t="shared" ca="1" si="8"/>
        <v>16.02176254923641</v>
      </c>
      <c r="E11" s="307">
        <f t="shared" ca="1" si="9"/>
        <v>86.246662255119361</v>
      </c>
      <c r="F11" s="304">
        <f t="shared" ca="1" si="10"/>
        <v>87.722195739349488</v>
      </c>
      <c r="G11" s="306">
        <f t="shared" ca="1" si="11"/>
        <v>23.60931302166361</v>
      </c>
      <c r="H11" s="307">
        <f t="shared" ca="1" si="12"/>
        <v>141.44886151737779</v>
      </c>
      <c r="I11" s="304">
        <f t="shared" ca="1" si="13"/>
        <v>143.40564872388123</v>
      </c>
      <c r="J11" s="306">
        <f t="shared" ca="1" si="14"/>
        <v>251.37306826172048</v>
      </c>
      <c r="K11" s="307">
        <f t="shared" ca="1" si="15"/>
        <v>1972.3078320156094</v>
      </c>
      <c r="L11" s="304">
        <f t="shared" ca="1" si="0"/>
        <v>1988.2622069730705</v>
      </c>
      <c r="M11" s="306">
        <f t="shared" ca="1" si="16"/>
        <v>1.4054103273354983</v>
      </c>
      <c r="N11" s="304">
        <f t="shared" ca="1" si="17"/>
        <v>80.524080240423572</v>
      </c>
      <c r="P11" s="310">
        <f t="shared" ca="1" si="18"/>
        <v>3</v>
      </c>
      <c r="Q11" s="304">
        <f t="shared" ca="1" si="19"/>
        <v>207.84482758620709</v>
      </c>
      <c r="R11" s="306">
        <f t="shared" ca="1" si="20"/>
        <v>0.11031359846614192</v>
      </c>
      <c r="S11" s="307">
        <f t="shared" ca="1" si="21"/>
        <v>1.8528085422537257</v>
      </c>
      <c r="T11" s="304">
        <f t="shared" ca="1" si="1"/>
        <v>18.17605179950905</v>
      </c>
      <c r="U11" s="311">
        <f t="shared" ca="1" si="2"/>
        <v>0</v>
      </c>
      <c r="V11" s="306">
        <f t="shared" ca="1" si="3"/>
        <v>1.0050798065737381</v>
      </c>
      <c r="W11" s="304">
        <f t="shared" ca="1" si="4"/>
        <v>27.745981317113102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1972.3078320156094</v>
      </c>
      <c r="AG11" s="306">
        <f t="shared" ca="1" si="27"/>
        <v>87.707347205013036</v>
      </c>
      <c r="AH11" s="304">
        <f t="shared" ca="1" si="28"/>
        <v>97.38367028808365</v>
      </c>
    </row>
    <row r="12" spans="1:248" x14ac:dyDescent="0.2">
      <c r="A12" s="347">
        <f t="shared" ca="1" si="6"/>
        <v>0.01</v>
      </c>
      <c r="B12" s="304">
        <f t="shared" ca="1" si="7"/>
        <v>10.779999999999998</v>
      </c>
      <c r="D12" s="306">
        <f t="shared" ca="1" si="8"/>
        <v>15.935703872132351</v>
      </c>
      <c r="E12" s="307">
        <f t="shared" ca="1" si="9"/>
        <v>85.66449212617357</v>
      </c>
      <c r="F12" s="304">
        <f t="shared" ca="1" si="10"/>
        <v>87.134102790672884</v>
      </c>
      <c r="G12" s="306">
        <f t="shared" ca="1" si="11"/>
        <v>23.768670060384935</v>
      </c>
      <c r="H12" s="307">
        <f t="shared" ca="1" si="12"/>
        <v>142.30550643863953</v>
      </c>
      <c r="I12" s="304">
        <f t="shared" ca="1" si="13"/>
        <v>144.27684096623793</v>
      </c>
      <c r="J12" s="306">
        <f t="shared" ca="1" si="14"/>
        <v>251.60995817713072</v>
      </c>
      <c r="K12" s="307">
        <f t="shared" ca="1" si="15"/>
        <v>1973.7266038553894</v>
      </c>
      <c r="L12" s="304">
        <f t="shared" ca="1" si="0"/>
        <v>1989.6995446097953</v>
      </c>
      <c r="M12" s="306">
        <f t="shared" ca="1" si="16"/>
        <v>1.4052983862599147</v>
      </c>
      <c r="N12" s="304">
        <f t="shared" ca="1" si="17"/>
        <v>80.517666489238465</v>
      </c>
      <c r="P12" s="310">
        <f t="shared" ca="1" si="18"/>
        <v>3</v>
      </c>
      <c r="Q12" s="304">
        <f t="shared" ca="1" si="19"/>
        <v>206.98275862068988</v>
      </c>
      <c r="R12" s="306">
        <f t="shared" ca="1" si="20"/>
        <v>0.10985605554425831</v>
      </c>
      <c r="S12" s="307">
        <f t="shared" ca="1" si="21"/>
        <v>1.8517099816982832</v>
      </c>
      <c r="T12" s="304">
        <f t="shared" ca="1" si="1"/>
        <v>18.16527492046016</v>
      </c>
      <c r="U12" s="311">
        <f t="shared" ca="1" si="2"/>
        <v>0</v>
      </c>
      <c r="V12" s="306">
        <f t="shared" ca="1" si="3"/>
        <v>1.0049358175960343</v>
      </c>
      <c r="W12" s="304">
        <f t="shared" ca="1" si="4"/>
        <v>28.080096746330547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1973.7266038553894</v>
      </c>
      <c r="AG12" s="306">
        <f t="shared" ca="1" si="27"/>
        <v>87.119133840428873</v>
      </c>
      <c r="AH12" s="304">
        <f t="shared" ca="1" si="28"/>
        <v>96.795275218633861</v>
      </c>
    </row>
    <row r="13" spans="1:248" x14ac:dyDescent="0.2">
      <c r="A13" s="347">
        <f t="shared" ca="1" si="6"/>
        <v>0.01</v>
      </c>
      <c r="B13" s="304">
        <f t="shared" ca="1" si="7"/>
        <v>10.789999999999997</v>
      </c>
      <c r="D13" s="306">
        <f t="shared" ca="1" si="8"/>
        <v>15.849332539831281</v>
      </c>
      <c r="E13" s="307">
        <f t="shared" ca="1" si="9"/>
        <v>85.081606811196181</v>
      </c>
      <c r="F13" s="304">
        <f t="shared" ca="1" si="10"/>
        <v>86.545254979884021</v>
      </c>
      <c r="G13" s="306">
        <f t="shared" ca="1" si="11"/>
        <v>23.927163385783249</v>
      </c>
      <c r="H13" s="307">
        <f t="shared" ca="1" si="12"/>
        <v>143.15632250675148</v>
      </c>
      <c r="I13" s="304">
        <f t="shared" ca="1" si="13"/>
        <v>145.14214350541681</v>
      </c>
      <c r="J13" s="306">
        <f t="shared" ca="1" si="14"/>
        <v>251.84843734436157</v>
      </c>
      <c r="K13" s="307">
        <f t="shared" ca="1" si="15"/>
        <v>1975.1539130001163</v>
      </c>
      <c r="L13" s="304">
        <f t="shared" ca="1" si="0"/>
        <v>1991.1455535526447</v>
      </c>
      <c r="M13" s="306">
        <f t="shared" ca="1" si="16"/>
        <v>1.405187037923419</v>
      </c>
      <c r="N13" s="304">
        <f t="shared" ca="1" si="17"/>
        <v>80.511286699501468</v>
      </c>
      <c r="P13" s="310">
        <f t="shared" ca="1" si="18"/>
        <v>3</v>
      </c>
      <c r="Q13" s="304">
        <f t="shared" ca="1" si="19"/>
        <v>206.12068965517264</v>
      </c>
      <c r="R13" s="306">
        <f t="shared" ca="1" si="20"/>
        <v>0.10939851262237468</v>
      </c>
      <c r="S13" s="307">
        <f t="shared" ca="1" si="21"/>
        <v>1.8506159965720594</v>
      </c>
      <c r="T13" s="304">
        <f t="shared" ca="1" si="1"/>
        <v>18.154542926371903</v>
      </c>
      <c r="U13" s="311">
        <f t="shared" ca="1" si="2"/>
        <v>0</v>
      </c>
      <c r="V13" s="306">
        <f t="shared" ca="1" si="3"/>
        <v>1.004790980941092</v>
      </c>
      <c r="W13" s="304">
        <f t="shared" ca="1" si="4"/>
        <v>28.41383266201084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1975.1539130001163</v>
      </c>
      <c r="AG13" s="306">
        <f t="shared" ca="1" si="27"/>
        <v>86.530163940992324</v>
      </c>
      <c r="AH13" s="304">
        <f t="shared" ca="1" si="28"/>
        <v>96.206124468085747</v>
      </c>
    </row>
    <row r="14" spans="1:248" x14ac:dyDescent="0.2">
      <c r="A14" s="347">
        <f t="shared" ca="1" si="6"/>
        <v>0.01</v>
      </c>
      <c r="B14" s="304">
        <f t="shared" ca="1" si="7"/>
        <v>10.799999999999997</v>
      </c>
      <c r="D14" s="306">
        <f t="shared" ca="1" si="8"/>
        <v>15.762654946840962</v>
      </c>
      <c r="E14" s="307">
        <f t="shared" ca="1" si="9"/>
        <v>84.498033039694121</v>
      </c>
      <c r="F14" s="304">
        <f t="shared" ca="1" si="10"/>
        <v>85.955679734095568</v>
      </c>
      <c r="G14" s="306">
        <f t="shared" ca="1" si="11"/>
        <v>24.08478993525166</v>
      </c>
      <c r="H14" s="307">
        <f t="shared" ca="1" si="12"/>
        <v>144.00130283714842</v>
      </c>
      <c r="I14" s="304">
        <f t="shared" ca="1" si="13"/>
        <v>146.00154905007457</v>
      </c>
      <c r="J14" s="306">
        <f t="shared" ca="1" si="14"/>
        <v>252.08849711096676</v>
      </c>
      <c r="K14" s="307">
        <f t="shared" ca="1" si="15"/>
        <v>1976.5897011268357</v>
      </c>
      <c r="L14" s="304">
        <f t="shared" ca="1" si="0"/>
        <v>1992.6001748911747</v>
      </c>
      <c r="M14" s="306">
        <f t="shared" ca="1" si="16"/>
        <v>1.4050762712208702</v>
      </c>
      <c r="N14" s="304">
        <f t="shared" ca="1" si="17"/>
        <v>80.504940234934836</v>
      </c>
      <c r="P14" s="310">
        <f t="shared" ca="1" si="18"/>
        <v>3</v>
      </c>
      <c r="Q14" s="304">
        <f t="shared" ca="1" si="19"/>
        <v>205.25862068965543</v>
      </c>
      <c r="R14" s="306">
        <f t="shared" ca="1" si="20"/>
        <v>0.10894096970049108</v>
      </c>
      <c r="S14" s="307">
        <f t="shared" ca="1" si="21"/>
        <v>1.8495265868750546</v>
      </c>
      <c r="T14" s="304">
        <f t="shared" ca="1" si="1"/>
        <v>18.143855817244287</v>
      </c>
      <c r="U14" s="311">
        <f t="shared" ca="1" si="2"/>
        <v>0</v>
      </c>
      <c r="V14" s="306">
        <f t="shared" ca="1" si="3"/>
        <v>1.0046453028600502</v>
      </c>
      <c r="W14" s="304">
        <f t="shared" ca="1" si="4"/>
        <v>28.747144391198582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1976.5897011268357</v>
      </c>
      <c r="AG14" s="306">
        <f t="shared" ca="1" si="27"/>
        <v>85.940464899210042</v>
      </c>
      <c r="AH14" s="304">
        <f t="shared" ca="1" si="28"/>
        <v>95.616245412530219</v>
      </c>
    </row>
    <row r="15" spans="1:248" x14ac:dyDescent="0.2">
      <c r="A15" s="347">
        <f t="shared" ca="1" si="6"/>
        <v>0.01</v>
      </c>
      <c r="B15" s="304">
        <f t="shared" ca="1" si="7"/>
        <v>10.809999999999997</v>
      </c>
      <c r="D15" s="306">
        <f t="shared" ca="1" si="8"/>
        <v>15.675677432193112</v>
      </c>
      <c r="E15" s="307">
        <f t="shared" ca="1" si="9"/>
        <v>83.913797432286216</v>
      </c>
      <c r="F15" s="304">
        <f t="shared" ca="1" si="10"/>
        <v>85.365404365380556</v>
      </c>
      <c r="G15" s="306">
        <f t="shared" ca="1" si="11"/>
        <v>24.241546709573591</v>
      </c>
      <c r="H15" s="307">
        <f t="shared" ca="1" si="12"/>
        <v>144.84044081147127</v>
      </c>
      <c r="I15" s="304">
        <f t="shared" ca="1" si="13"/>
        <v>146.85505058163218</v>
      </c>
      <c r="J15" s="306">
        <f t="shared" ca="1" si="14"/>
        <v>252.33012879419087</v>
      </c>
      <c r="K15" s="307">
        <f t="shared" ca="1" si="15"/>
        <v>1978.0339098450788</v>
      </c>
      <c r="L15" s="304">
        <f t="shared" ca="1" si="0"/>
        <v>1994.063349644214</v>
      </c>
      <c r="M15" s="306">
        <f t="shared" ca="1" si="16"/>
        <v>1.4049660752995541</v>
      </c>
      <c r="N15" s="304">
        <f t="shared" ca="1" si="17"/>
        <v>80.498626473723874</v>
      </c>
      <c r="P15" s="310">
        <f t="shared" ca="1" si="18"/>
        <v>3</v>
      </c>
      <c r="Q15" s="304">
        <f t="shared" ca="1" si="19"/>
        <v>204.39655172413819</v>
      </c>
      <c r="R15" s="306">
        <f t="shared" ca="1" si="20"/>
        <v>0.10848342677860745</v>
      </c>
      <c r="S15" s="307">
        <f t="shared" ca="1" si="21"/>
        <v>1.8484417526072685</v>
      </c>
      <c r="T15" s="304">
        <f t="shared" ca="1" si="1"/>
        <v>18.133213593077304</v>
      </c>
      <c r="U15" s="311">
        <f t="shared" ca="1" si="2"/>
        <v>0</v>
      </c>
      <c r="V15" s="306">
        <f t="shared" ca="1" si="3"/>
        <v>1.0044987896096753</v>
      </c>
      <c r="W15" s="304">
        <f t="shared" ca="1" si="4"/>
        <v>29.079987618070845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1978.0339098450788</v>
      </c>
      <c r="AG15" s="306">
        <f t="shared" ca="1" si="27"/>
        <v>85.350063991684394</v>
      </c>
      <c r="AH15" s="304">
        <f t="shared" ca="1" si="28"/>
        <v>95.025665312516438</v>
      </c>
    </row>
    <row r="16" spans="1:248" x14ac:dyDescent="0.2">
      <c r="A16" s="347">
        <f t="shared" ca="1" si="6"/>
        <v>0.01</v>
      </c>
      <c r="B16" s="304">
        <f t="shared" ca="1" si="7"/>
        <v>10.819999999999997</v>
      </c>
      <c r="D16" s="306">
        <f t="shared" ca="1" si="8"/>
        <v>15.588406280153984</v>
      </c>
      <c r="E16" s="307">
        <f t="shared" ca="1" si="9"/>
        <v>83.328926497381275</v>
      </c>
      <c r="F16" s="304">
        <f t="shared" ca="1" si="10"/>
        <v>84.774456067621657</v>
      </c>
      <c r="G16" s="306">
        <f t="shared" ca="1" si="11"/>
        <v>24.397430772375131</v>
      </c>
      <c r="H16" s="307">
        <f t="shared" ca="1" si="12"/>
        <v>145.67373007644508</v>
      </c>
      <c r="I16" s="304">
        <f t="shared" ca="1" si="13"/>
        <v>147.7026413530842</v>
      </c>
      <c r="J16" s="306">
        <f t="shared" ca="1" si="14"/>
        <v>252.57332368160061</v>
      </c>
      <c r="K16" s="307">
        <f t="shared" ca="1" si="15"/>
        <v>1979.4864806995183</v>
      </c>
      <c r="L16" s="304">
        <f t="shared" ca="1" si="0"/>
        <v>1995.5350187625711</v>
      </c>
      <c r="M16" s="306">
        <f t="shared" ca="1" si="16"/>
        <v>1.4048564395512029</v>
      </c>
      <c r="N16" s="304">
        <f t="shared" ca="1" si="17"/>
        <v>80.492344808059585</v>
      </c>
      <c r="P16" s="310">
        <f t="shared" ca="1" si="18"/>
        <v>3</v>
      </c>
      <c r="Q16" s="304">
        <f t="shared" ca="1" si="19"/>
        <v>203.53448275862098</v>
      </c>
      <c r="R16" s="306">
        <f t="shared" ca="1" si="20"/>
        <v>0.10802588385672385</v>
      </c>
      <c r="S16" s="307">
        <f t="shared" ca="1" si="21"/>
        <v>1.8473614937687013</v>
      </c>
      <c r="T16" s="304">
        <f t="shared" ca="1" si="1"/>
        <v>18.122616253870962</v>
      </c>
      <c r="U16" s="311">
        <f t="shared" ca="1" si="2"/>
        <v>0</v>
      </c>
      <c r="V16" s="306">
        <f t="shared" ca="1" si="3"/>
        <v>1.0043514474520394</v>
      </c>
      <c r="W16" s="304">
        <f t="shared" ca="1" si="4"/>
        <v>29.412318387851968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1979.4864806995183</v>
      </c>
      <c r="AG16" s="306">
        <f t="shared" ca="1" si="27"/>
        <v>84.758988375932589</v>
      </c>
      <c r="AH16" s="304">
        <f t="shared" ca="1" si="28"/>
        <v>94.434411309859584</v>
      </c>
    </row>
    <row r="17" spans="1:34" x14ac:dyDescent="0.2">
      <c r="A17" s="347">
        <f t="shared" ca="1" si="6"/>
        <v>0.01</v>
      </c>
      <c r="B17" s="304">
        <f t="shared" ca="1" si="7"/>
        <v>10.829999999999997</v>
      </c>
      <c r="D17" s="306">
        <f t="shared" ca="1" si="8"/>
        <v>15.500847720891446</v>
      </c>
      <c r="E17" s="307">
        <f t="shared" ca="1" si="9"/>
        <v>82.743446627912775</v>
      </c>
      <c r="F17" s="304">
        <f t="shared" ca="1" si="10"/>
        <v>84.182861913411543</v>
      </c>
      <c r="G17" s="306">
        <f t="shared" ca="1" si="11"/>
        <v>24.552439249584044</v>
      </c>
      <c r="H17" s="307">
        <f t="shared" ca="1" si="12"/>
        <v>146.50116454272421</v>
      </c>
      <c r="I17" s="304">
        <f t="shared" ca="1" si="13"/>
        <v>148.54431488777641</v>
      </c>
      <c r="J17" s="306">
        <f t="shared" ca="1" si="14"/>
        <v>252.81807303171041</v>
      </c>
      <c r="K17" s="307">
        <f t="shared" ca="1" si="15"/>
        <v>1980.9473551726142</v>
      </c>
      <c r="L17" s="304">
        <f t="shared" ca="1" si="0"/>
        <v>1997.0151231317309</v>
      </c>
      <c r="M17" s="306">
        <f t="shared" ca="1" si="16"/>
        <v>1.4047473536043249</v>
      </c>
      <c r="N17" s="304">
        <f t="shared" ca="1" si="17"/>
        <v>80.486094643699289</v>
      </c>
      <c r="P17" s="310">
        <f t="shared" ca="1" si="18"/>
        <v>3</v>
      </c>
      <c r="Q17" s="304">
        <f t="shared" ca="1" si="19"/>
        <v>202.67241379310374</v>
      </c>
      <c r="R17" s="306">
        <f t="shared" ca="1" si="20"/>
        <v>0.10756834093484022</v>
      </c>
      <c r="S17" s="307">
        <f t="shared" ca="1" si="21"/>
        <v>1.8462858103593529</v>
      </c>
      <c r="T17" s="304">
        <f t="shared" ca="1" si="1"/>
        <v>18.112063799625254</v>
      </c>
      <c r="U17" s="311">
        <f t="shared" ca="1" si="2"/>
        <v>0</v>
      </c>
      <c r="V17" s="306">
        <f t="shared" ca="1" si="3"/>
        <v>1.0042032826542024</v>
      </c>
      <c r="W17" s="304">
        <f t="shared" ca="1" si="4"/>
        <v>29.74409311062233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1980.9473551726142</v>
      </c>
      <c r="AG17" s="306">
        <f t="shared" ca="1" si="27"/>
        <v>84.167265087255643</v>
      </c>
      <c r="AH17" s="304">
        <f t="shared" ca="1" si="28"/>
        <v>93.842510424498798</v>
      </c>
    </row>
    <row r="18" spans="1:34" x14ac:dyDescent="0.2">
      <c r="A18" s="347">
        <f t="shared" ca="1" si="6"/>
        <v>0.01</v>
      </c>
      <c r="B18" s="304">
        <f t="shared" ca="1" si="7"/>
        <v>10.839999999999996</v>
      </c>
      <c r="D18" s="306">
        <f t="shared" ca="1" si="8"/>
        <v>15.413007931100946</v>
      </c>
      <c r="E18" s="307">
        <f t="shared" ca="1" si="9"/>
        <v>82.157384098131416</v>
      </c>
      <c r="F18" s="304">
        <f t="shared" ca="1" si="10"/>
        <v>83.590648851005326</v>
      </c>
      <c r="G18" s="306">
        <f t="shared" ca="1" si="11"/>
        <v>24.706569328895053</v>
      </c>
      <c r="H18" s="307">
        <f t="shared" ca="1" si="12"/>
        <v>147.32273838370551</v>
      </c>
      <c r="I18" s="304">
        <f t="shared" ca="1" si="13"/>
        <v>149.38006497815306</v>
      </c>
      <c r="J18" s="306">
        <f t="shared" ca="1" si="14"/>
        <v>253.06436807460281</v>
      </c>
      <c r="K18" s="307">
        <f t="shared" ca="1" si="15"/>
        <v>1982.4164746872464</v>
      </c>
      <c r="L18" s="304">
        <f t="shared" ca="1" si="0"/>
        <v>1998.5036035745366</v>
      </c>
      <c r="M18" s="306">
        <f t="shared" ca="1" si="16"/>
        <v>1.4046388073168299</v>
      </c>
      <c r="N18" s="304">
        <f t="shared" ca="1" si="17"/>
        <v>80.479875399544014</v>
      </c>
      <c r="P18" s="310">
        <f t="shared" ca="1" si="18"/>
        <v>3</v>
      </c>
      <c r="Q18" s="304">
        <f t="shared" ca="1" si="19"/>
        <v>201.81034482758653</v>
      </c>
      <c r="R18" s="306">
        <f t="shared" ca="1" si="20"/>
        <v>0.10711079801295662</v>
      </c>
      <c r="S18" s="307">
        <f t="shared" ca="1" si="21"/>
        <v>1.8452147023792234</v>
      </c>
      <c r="T18" s="304">
        <f t="shared" ca="1" si="1"/>
        <v>18.101556230340183</v>
      </c>
      <c r="U18" s="311">
        <f t="shared" ca="1" si="2"/>
        <v>0</v>
      </c>
      <c r="V18" s="306">
        <f t="shared" ca="1" si="3"/>
        <v>1.0040543014878964</v>
      </c>
      <c r="W18" s="304">
        <f t="shared" ca="1" si="4"/>
        <v>30.07526856502119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1982.4164746872464</v>
      </c>
      <c r="AG18" s="306">
        <f t="shared" ca="1" si="27"/>
        <v>83.574921035658193</v>
      </c>
      <c r="AH18" s="304">
        <f t="shared" ca="1" si="28"/>
        <v>93.249989551406472</v>
      </c>
    </row>
    <row r="19" spans="1:34" x14ac:dyDescent="0.2">
      <c r="A19" s="347">
        <f t="shared" ca="1" si="6"/>
        <v>0.01</v>
      </c>
      <c r="B19" s="304">
        <f t="shared" ca="1" si="7"/>
        <v>10.849999999999996</v>
      </c>
      <c r="D19" s="306">
        <f t="shared" ca="1" si="8"/>
        <v>15.324893034592797</v>
      </c>
      <c r="E19" s="307">
        <f t="shared" ca="1" si="9"/>
        <v>81.570765060454363</v>
      </c>
      <c r="F19" s="304">
        <f t="shared" ca="1" si="10"/>
        <v>82.997843701324868</v>
      </c>
      <c r="G19" s="306">
        <f t="shared" ca="1" si="11"/>
        <v>24.859818259240981</v>
      </c>
      <c r="H19" s="307">
        <f t="shared" ca="1" si="12"/>
        <v>148.13844603431005</v>
      </c>
      <c r="I19" s="304">
        <f t="shared" ca="1" si="13"/>
        <v>150.20988568447376</v>
      </c>
      <c r="J19" s="306">
        <f t="shared" ca="1" si="14"/>
        <v>253.31220001254349</v>
      </c>
      <c r="K19" s="307">
        <f t="shared" ca="1" si="15"/>
        <v>1983.8937806093365</v>
      </c>
      <c r="L19" s="304">
        <f t="shared" ca="1" si="0"/>
        <v>2000.0004008538601</v>
      </c>
      <c r="M19" s="306">
        <f t="shared" ca="1" si="16"/>
        <v>1.4045307907689371</v>
      </c>
      <c r="N19" s="304">
        <f t="shared" ca="1" si="17"/>
        <v>80.473686507232173</v>
      </c>
      <c r="P19" s="310">
        <f t="shared" ca="1" si="18"/>
        <v>3</v>
      </c>
      <c r="Q19" s="304">
        <f t="shared" ca="1" si="19"/>
        <v>200.94827586206929</v>
      </c>
      <c r="R19" s="306">
        <f t="shared" ca="1" si="20"/>
        <v>0.106653255091073</v>
      </c>
      <c r="S19" s="307">
        <f t="shared" ca="1" si="21"/>
        <v>1.8441481698283126</v>
      </c>
      <c r="T19" s="304">
        <f t="shared" ca="1" si="1"/>
        <v>18.091093546015749</v>
      </c>
      <c r="U19" s="311">
        <f t="shared" ca="1" si="2"/>
        <v>0</v>
      </c>
      <c r="V19" s="306">
        <f t="shared" ca="1" si="3"/>
        <v>1.0039045102292086</v>
      </c>
      <c r="W19" s="304">
        <f t="shared" ca="1" si="4"/>
        <v>30.405801901843596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1983.8937806093365</v>
      </c>
      <c r="AG19" s="306">
        <f t="shared" ca="1" si="27"/>
        <v>82.981983002818978</v>
      </c>
      <c r="AH19" s="304">
        <f t="shared" ca="1" si="28"/>
        <v>92.65687545754858</v>
      </c>
    </row>
    <row r="20" spans="1:34" x14ac:dyDescent="0.2">
      <c r="A20" s="347">
        <f t="shared" ca="1" si="6"/>
        <v>0.01</v>
      </c>
      <c r="B20" s="304">
        <f t="shared" ca="1" si="7"/>
        <v>10.859999999999996</v>
      </c>
      <c r="D20" s="306">
        <f t="shared" ca="1" si="8"/>
        <v>15.236509102842875</v>
      </c>
      <c r="E20" s="307">
        <f t="shared" ca="1" si="9"/>
        <v>80.983615542371922</v>
      </c>
      <c r="F20" s="304">
        <f t="shared" ca="1" si="10"/>
        <v>82.404473155015779</v>
      </c>
      <c r="G20" s="306">
        <f t="shared" ca="1" si="11"/>
        <v>25.01218335026941</v>
      </c>
      <c r="H20" s="307">
        <f t="shared" ca="1" si="12"/>
        <v>148.94828218973376</v>
      </c>
      <c r="I20" s="304">
        <f t="shared" ca="1" si="13"/>
        <v>151.03377133350028</v>
      </c>
      <c r="J20" s="306">
        <f t="shared" ca="1" si="14"/>
        <v>253.56156002059103</v>
      </c>
      <c r="K20" s="307">
        <f t="shared" ca="1" si="15"/>
        <v>1985.3792142504567</v>
      </c>
      <c r="L20" s="304">
        <f t="shared" ca="1" si="0"/>
        <v>2001.5054556752616</v>
      </c>
      <c r="M20" s="306">
        <f t="shared" ca="1" si="16"/>
        <v>1.4044232942563522</v>
      </c>
      <c r="N20" s="304">
        <f t="shared" ca="1" si="17"/>
        <v>80.467527410748687</v>
      </c>
      <c r="P20" s="310">
        <f t="shared" ca="1" si="18"/>
        <v>3</v>
      </c>
      <c r="Q20" s="304">
        <f t="shared" ca="1" si="19"/>
        <v>200.08620689655208</v>
      </c>
      <c r="R20" s="306">
        <f t="shared" ca="1" si="20"/>
        <v>0.10619571216918938</v>
      </c>
      <c r="S20" s="307">
        <f t="shared" ca="1" si="21"/>
        <v>1.8430862127066208</v>
      </c>
      <c r="T20" s="304">
        <f t="shared" ca="1" si="1"/>
        <v>18.080675746651952</v>
      </c>
      <c r="U20" s="311">
        <f t="shared" ca="1" si="2"/>
        <v>0</v>
      </c>
      <c r="V20" s="306">
        <f t="shared" ca="1" si="3"/>
        <v>1.0037539151582719</v>
      </c>
      <c r="W20" s="304">
        <f t="shared" ca="1" si="4"/>
        <v>30.735650647531472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1985.3792142504567</v>
      </c>
      <c r="AG20" s="306">
        <f t="shared" ca="1" si="27"/>
        <v>82.388477639112551</v>
      </c>
      <c r="AH20" s="304">
        <f t="shared" ca="1" si="28"/>
        <v>92.063194778896602</v>
      </c>
    </row>
    <row r="21" spans="1:34" x14ac:dyDescent="0.2">
      <c r="A21" s="347">
        <f t="shared" ca="1" si="6"/>
        <v>0.01</v>
      </c>
      <c r="B21" s="304">
        <f t="shared" ca="1" si="7"/>
        <v>10.869999999999996</v>
      </c>
      <c r="D21" s="306">
        <f t="shared" ca="1" si="8"/>
        <v>15.147862155508994</v>
      </c>
      <c r="E21" s="307">
        <f t="shared" ca="1" si="9"/>
        <v>80.395961443411494</v>
      </c>
      <c r="F21" s="304">
        <f t="shared" ca="1" si="10"/>
        <v>81.810563769557348</v>
      </c>
      <c r="G21" s="306">
        <f t="shared" ca="1" si="11"/>
        <v>25.163661971824499</v>
      </c>
      <c r="H21" s="307">
        <f t="shared" ca="1" si="12"/>
        <v>149.75224180416788</v>
      </c>
      <c r="I21" s="304">
        <f t="shared" ca="1" si="13"/>
        <v>151.85171651715436</v>
      </c>
      <c r="J21" s="306">
        <f t="shared" ca="1" si="14"/>
        <v>253.8124392472015</v>
      </c>
      <c r="K21" s="307">
        <f t="shared" ca="1" si="15"/>
        <v>1986.8727168704263</v>
      </c>
      <c r="L21" s="304">
        <f t="shared" ca="1" si="0"/>
        <v>2003.0187086896326</v>
      </c>
      <c r="M21" s="306">
        <f t="shared" ca="1" si="16"/>
        <v>1.4043163082837014</v>
      </c>
      <c r="N21" s="304">
        <f t="shared" ca="1" si="17"/>
        <v>80.461397566048689</v>
      </c>
      <c r="P21" s="310">
        <f t="shared" ca="1" si="18"/>
        <v>3</v>
      </c>
      <c r="Q21" s="304">
        <f t="shared" ca="1" si="19"/>
        <v>199.22413793103487</v>
      </c>
      <c r="R21" s="306">
        <f t="shared" ca="1" si="20"/>
        <v>0.10573816924730578</v>
      </c>
      <c r="S21" s="307">
        <f t="shared" ca="1" si="21"/>
        <v>1.8420288310141477</v>
      </c>
      <c r="T21" s="304">
        <f t="shared" ca="1" si="1"/>
        <v>18.070302832248789</v>
      </c>
      <c r="U21" s="311">
        <f t="shared" ca="1" si="2"/>
        <v>0</v>
      </c>
      <c r="V21" s="306">
        <f t="shared" ca="1" si="3"/>
        <v>1.0036025225589504</v>
      </c>
      <c r="W21" s="304">
        <f t="shared" ca="1" si="4"/>
        <v>31.064772707558955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1986.8727168704263</v>
      </c>
      <c r="AG21" s="306">
        <f t="shared" ca="1" si="27"/>
        <v>81.794431460682659</v>
      </c>
      <c r="AH21" s="304">
        <f t="shared" ca="1" si="28"/>
        <v>91.468974017491533</v>
      </c>
    </row>
    <row r="22" spans="1:34" x14ac:dyDescent="0.2">
      <c r="A22" s="347">
        <f t="shared" ca="1" si="6"/>
        <v>0.01</v>
      </c>
      <c r="B22" s="304">
        <f t="shared" ca="1" si="7"/>
        <v>10.879999999999995</v>
      </c>
      <c r="D22" s="306">
        <f t="shared" ca="1" si="8"/>
        <v>15.058958160914861</v>
      </c>
      <c r="E22" s="307">
        <f t="shared" ca="1" si="9"/>
        <v>79.807828532158709</v>
      </c>
      <c r="F22" s="304">
        <f t="shared" ca="1" si="10"/>
        <v>81.216141966425795</v>
      </c>
      <c r="G22" s="306">
        <f t="shared" ca="1" si="11"/>
        <v>25.31425155343365</v>
      </c>
      <c r="H22" s="307">
        <f t="shared" ca="1" si="12"/>
        <v>150.55032008948947</v>
      </c>
      <c r="I22" s="304">
        <f t="shared" ca="1" si="13"/>
        <v>152.66371609114674</v>
      </c>
      <c r="J22" s="306">
        <f t="shared" ca="1" si="14"/>
        <v>254.06482881482779</v>
      </c>
      <c r="K22" s="307">
        <f t="shared" ca="1" si="15"/>
        <v>1988.3742296798946</v>
      </c>
      <c r="L22" s="304">
        <f t="shared" ca="1" si="0"/>
        <v>2004.5401004958276</v>
      </c>
      <c r="M22" s="306">
        <f t="shared" ca="1" si="16"/>
        <v>1.4042098235582097</v>
      </c>
      <c r="N22" s="304">
        <f t="shared" ca="1" si="17"/>
        <v>80.455296440695406</v>
      </c>
      <c r="P22" s="310">
        <f t="shared" ca="1" si="18"/>
        <v>3</v>
      </c>
      <c r="Q22" s="304">
        <f t="shared" ca="1" si="19"/>
        <v>198.36206896551764</v>
      </c>
      <c r="R22" s="306">
        <f t="shared" ca="1" si="20"/>
        <v>0.10528062632542215</v>
      </c>
      <c r="S22" s="307">
        <f t="shared" ca="1" si="21"/>
        <v>1.8409760247508935</v>
      </c>
      <c r="T22" s="304">
        <f t="shared" ca="1" si="1"/>
        <v>18.059974802806266</v>
      </c>
      <c r="U22" s="311">
        <f t="shared" ca="1" si="2"/>
        <v>0</v>
      </c>
      <c r="V22" s="306">
        <f t="shared" ca="1" si="3"/>
        <v>1.0034503387185318</v>
      </c>
      <c r="W22" s="304">
        <f t="shared" ca="1" si="4"/>
        <v>31.393126369712437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1988.3742296798946</v>
      </c>
      <c r="AG22" s="306">
        <f t="shared" ca="1" si="27"/>
        <v>81.199870846567464</v>
      </c>
      <c r="AH22" s="304">
        <f t="shared" ca="1" si="28"/>
        <v>90.874239538560019</v>
      </c>
    </row>
    <row r="23" spans="1:34" x14ac:dyDescent="0.2">
      <c r="A23" s="347">
        <f t="shared" ca="1" si="6"/>
        <v>0.01</v>
      </c>
      <c r="B23" s="304">
        <f t="shared" ca="1" si="7"/>
        <v>10.889999999999995</v>
      </c>
      <c r="D23" s="306">
        <f t="shared" ca="1" si="8"/>
        <v>14.969803036503642</v>
      </c>
      <c r="E23" s="307">
        <f t="shared" ca="1" si="9"/>
        <v>79.219242443335858</v>
      </c>
      <c r="F23" s="304">
        <f t="shared" ca="1" si="10"/>
        <v>80.621234028311292</v>
      </c>
      <c r="G23" s="306">
        <f t="shared" ca="1" si="11"/>
        <v>25.463949583798687</v>
      </c>
      <c r="H23" s="307">
        <f t="shared" ca="1" si="12"/>
        <v>151.34251251392283</v>
      </c>
      <c r="I23" s="304">
        <f t="shared" ca="1" si="13"/>
        <v>153.46976517357785</v>
      </c>
      <c r="J23" s="306">
        <f t="shared" ca="1" si="14"/>
        <v>254.31871982051396</v>
      </c>
      <c r="K23" s="307">
        <f t="shared" ca="1" si="15"/>
        <v>1989.8836938429117</v>
      </c>
      <c r="L23" s="304">
        <f t="shared" ca="1" si="0"/>
        <v>2006.0695716432808</v>
      </c>
      <c r="M23" s="306">
        <f t="shared" ca="1" si="16"/>
        <v>1.4041038309836162</v>
      </c>
      <c r="N23" s="304">
        <f t="shared" ca="1" si="17"/>
        <v>80.449223513511484</v>
      </c>
      <c r="P23" s="310">
        <f t="shared" ca="1" si="18"/>
        <v>3</v>
      </c>
      <c r="Q23" s="304">
        <f t="shared" ca="1" si="19"/>
        <v>197.50000000000043</v>
      </c>
      <c r="R23" s="306">
        <f t="shared" ca="1" si="20"/>
        <v>0.10482308340353855</v>
      </c>
      <c r="S23" s="307">
        <f t="shared" ca="1" si="21"/>
        <v>1.8399277939168581</v>
      </c>
      <c r="T23" s="304">
        <f t="shared" ca="1" si="1"/>
        <v>18.049691658324377</v>
      </c>
      <c r="U23" s="311">
        <f t="shared" ca="1" si="2"/>
        <v>0</v>
      </c>
      <c r="V23" s="306">
        <f t="shared" ca="1" si="3"/>
        <v>1.003297369927419</v>
      </c>
      <c r="W23" s="304">
        <f t="shared" ca="1" si="4"/>
        <v>31.720670307265102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1989.8836938429117</v>
      </c>
      <c r="AG23" s="306">
        <f t="shared" ca="1" si="27"/>
        <v>80.604822035876722</v>
      </c>
      <c r="AH23" s="304">
        <f t="shared" ca="1" si="28"/>
        <v>90.279017567682857</v>
      </c>
    </row>
    <row r="24" spans="1:34" x14ac:dyDescent="0.2">
      <c r="A24" s="347">
        <f t="shared" ca="1" si="6"/>
        <v>0.01</v>
      </c>
      <c r="B24" s="304">
        <f t="shared" ca="1" si="7"/>
        <v>10.899999999999995</v>
      </c>
      <c r="D24" s="306">
        <f t="shared" ca="1" si="8"/>
        <v>14.880402649262608</v>
      </c>
      <c r="E24" s="307">
        <f t="shared" ca="1" si="9"/>
        <v>78.630228674937584</v>
      </c>
      <c r="F24" s="304">
        <f t="shared" ca="1" si="10"/>
        <v>80.025866096388853</v>
      </c>
      <c r="G24" s="306">
        <f t="shared" ca="1" si="11"/>
        <v>25.612753610291314</v>
      </c>
      <c r="H24" s="307">
        <f t="shared" ca="1" si="12"/>
        <v>152.12881480067222</v>
      </c>
      <c r="I24" s="304">
        <f t="shared" ca="1" si="13"/>
        <v>154.26985914351098</v>
      </c>
      <c r="J24" s="306">
        <f t="shared" ca="1" si="14"/>
        <v>254.5741033364844</v>
      </c>
      <c r="K24" s="307">
        <f t="shared" ca="1" si="15"/>
        <v>1991.4010504794846</v>
      </c>
      <c r="L24" s="304">
        <f t="shared" ca="1" si="0"/>
        <v>2007.6070626346109</v>
      </c>
      <c r="M24" s="306">
        <f t="shared" ca="1" si="16"/>
        <v>1.4039983216543108</v>
      </c>
      <c r="N24" s="304">
        <f t="shared" ca="1" si="17"/>
        <v>80.443178274243024</v>
      </c>
      <c r="P24" s="310">
        <f t="shared" ca="1" si="18"/>
        <v>3</v>
      </c>
      <c r="Q24" s="304">
        <f t="shared" ca="1" si="19"/>
        <v>196.63793103448319</v>
      </c>
      <c r="R24" s="306">
        <f t="shared" ca="1" si="20"/>
        <v>0.10436554048165493</v>
      </c>
      <c r="S24" s="307">
        <f t="shared" ca="1" si="21"/>
        <v>1.8388841385120416</v>
      </c>
      <c r="T24" s="304">
        <f t="shared" ca="1" si="1"/>
        <v>18.039453398803129</v>
      </c>
      <c r="U24" s="311">
        <f t="shared" ca="1" si="2"/>
        <v>0</v>
      </c>
      <c r="V24" s="306">
        <f t="shared" ca="1" si="3"/>
        <v>1.0031436224788253</v>
      </c>
      <c r="W24" s="304">
        <f t="shared" ca="1" si="4"/>
        <v>32.047363582046685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1991.4010504794846</v>
      </c>
      <c r="AG24" s="306">
        <f t="shared" ca="1" si="27"/>
        <v>80.009311125021654</v>
      </c>
      <c r="AH24" s="304">
        <f t="shared" ca="1" si="28"/>
        <v>89.683334188016417</v>
      </c>
    </row>
    <row r="25" spans="1:34" x14ac:dyDescent="0.2">
      <c r="A25" s="347">
        <f t="shared" ca="1" si="6"/>
        <v>0.01</v>
      </c>
      <c r="B25" s="304">
        <f t="shared" ca="1" si="7"/>
        <v>10.909999999999995</v>
      </c>
      <c r="D25" s="306">
        <f t="shared" ca="1" si="8"/>
        <v>14.79076281612099</v>
      </c>
      <c r="E25" s="307">
        <f t="shared" ca="1" si="9"/>
        <v>78.040812585423794</v>
      </c>
      <c r="F25" s="304">
        <f t="shared" ca="1" si="10"/>
        <v>79.43006416764365</v>
      </c>
      <c r="G25" s="306">
        <f t="shared" ca="1" si="11"/>
        <v>25.760661238452524</v>
      </c>
      <c r="H25" s="307">
        <f t="shared" ca="1" si="12"/>
        <v>152.90922292652647</v>
      </c>
      <c r="I25" s="304">
        <f t="shared" ca="1" si="13"/>
        <v>155.063993639518</v>
      </c>
      <c r="J25" s="306">
        <f t="shared" ca="1" si="14"/>
        <v>254.83097041072813</v>
      </c>
      <c r="K25" s="307">
        <f t="shared" ca="1" si="15"/>
        <v>1992.9262406681207</v>
      </c>
      <c r="L25" s="304">
        <f t="shared" ca="1" si="0"/>
        <v>2009.1525139282089</v>
      </c>
      <c r="M25" s="306">
        <f t="shared" ca="1" si="16"/>
        <v>1.4038932868496863</v>
      </c>
      <c r="N25" s="304">
        <f t="shared" ca="1" si="17"/>
        <v>80.437160223236063</v>
      </c>
      <c r="P25" s="310">
        <f t="shared" ca="1" si="18"/>
        <v>3</v>
      </c>
      <c r="Q25" s="304">
        <f t="shared" ca="1" si="19"/>
        <v>195.77586206896598</v>
      </c>
      <c r="R25" s="306">
        <f t="shared" ca="1" si="20"/>
        <v>0.10390799755977131</v>
      </c>
      <c r="S25" s="307">
        <f t="shared" ca="1" si="21"/>
        <v>1.8378450585364439</v>
      </c>
      <c r="T25" s="304">
        <f t="shared" ca="1" si="1"/>
        <v>18.029260024242515</v>
      </c>
      <c r="U25" s="311">
        <f t="shared" ca="1" si="2"/>
        <v>0</v>
      </c>
      <c r="V25" s="306">
        <f t="shared" ca="1" si="3"/>
        <v>1.0029891026684696</v>
      </c>
      <c r="W25" s="304">
        <f t="shared" ca="1" si="4"/>
        <v>32.373165647408293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1992.9262406681207</v>
      </c>
      <c r="AG25" s="306">
        <f t="shared" ca="1" si="27"/>
        <v>79.413364064997182</v>
      </c>
      <c r="AH25" s="304">
        <f t="shared" ca="1" si="28"/>
        <v>89.087215337566832</v>
      </c>
    </row>
    <row r="26" spans="1:34" x14ac:dyDescent="0.2">
      <c r="A26" s="347">
        <f t="shared" ca="1" si="6"/>
        <v>0.01</v>
      </c>
      <c r="B26" s="304">
        <f t="shared" ca="1" si="7"/>
        <v>10.919999999999995</v>
      </c>
      <c r="D26" s="306">
        <f t="shared" ca="1" si="8"/>
        <v>14.700889304322311</v>
      </c>
      <c r="E26" s="307">
        <f t="shared" ca="1" si="9"/>
        <v>77.451019390969776</v>
      </c>
      <c r="F26" s="304">
        <f t="shared" ca="1" si="10"/>
        <v>78.833854092250974</v>
      </c>
      <c r="G26" s="306">
        <f t="shared" ca="1" si="11"/>
        <v>25.907670131495749</v>
      </c>
      <c r="H26" s="307">
        <f t="shared" ca="1" si="12"/>
        <v>153.68373312043616</v>
      </c>
      <c r="I26" s="304">
        <f t="shared" ca="1" si="13"/>
        <v>155.85216455819869</v>
      </c>
      <c r="J26" s="306">
        <f t="shared" ca="1" si="14"/>
        <v>255.08931206757788</v>
      </c>
      <c r="K26" s="307">
        <f t="shared" ca="1" si="15"/>
        <v>1994.4592054483555</v>
      </c>
      <c r="L26" s="304">
        <f t="shared" ca="1" si="0"/>
        <v>2010.7058659408133</v>
      </c>
      <c r="M26" s="306">
        <f t="shared" ca="1" si="16"/>
        <v>1.4037887180286941</v>
      </c>
      <c r="N26" s="304">
        <f t="shared" ca="1" si="17"/>
        <v>80.431168871124555</v>
      </c>
      <c r="P26" s="310">
        <f t="shared" ca="1" si="18"/>
        <v>3</v>
      </c>
      <c r="Q26" s="304">
        <f t="shared" ca="1" si="19"/>
        <v>194.91379310344874</v>
      </c>
      <c r="R26" s="306">
        <f t="shared" ca="1" si="20"/>
        <v>0.1034504546378877</v>
      </c>
      <c r="S26" s="307">
        <f t="shared" ca="1" si="21"/>
        <v>1.836810553990065</v>
      </c>
      <c r="T26" s="304">
        <f t="shared" ca="1" si="1"/>
        <v>18.019111534642537</v>
      </c>
      <c r="U26" s="311">
        <f t="shared" ca="1" si="2"/>
        <v>0</v>
      </c>
      <c r="V26" s="306">
        <f t="shared" ca="1" si="3"/>
        <v>1.0028338167942756</v>
      </c>
      <c r="W26" s="304">
        <f t="shared" ca="1" si="4"/>
        <v>32.698036351082941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1994.4592054483555</v>
      </c>
      <c r="AG26" s="306">
        <f t="shared" ca="1" si="27"/>
        <v>78.817006658717133</v>
      </c>
      <c r="AH26" s="304">
        <f t="shared" ca="1" si="28"/>
        <v>88.490686806517346</v>
      </c>
    </row>
    <row r="27" spans="1:34" x14ac:dyDescent="0.2">
      <c r="A27" s="347">
        <f t="shared" ca="1" si="6"/>
        <v>0.01</v>
      </c>
      <c r="B27" s="304">
        <f t="shared" ca="1" si="7"/>
        <v>10.929999999999994</v>
      </c>
      <c r="D27" s="306">
        <f t="shared" ca="1" si="8"/>
        <v>14.610787831772992</v>
      </c>
      <c r="E27" s="307">
        <f t="shared" ca="1" si="9"/>
        <v>76.860874162773598</v>
      </c>
      <c r="F27" s="304">
        <f t="shared" ca="1" si="10"/>
        <v>78.237261571011061</v>
      </c>
      <c r="G27" s="306">
        <f t="shared" ca="1" si="11"/>
        <v>26.053778009813477</v>
      </c>
      <c r="H27" s="307">
        <f t="shared" ca="1" si="12"/>
        <v>154.45234186206389</v>
      </c>
      <c r="I27" s="304">
        <f t="shared" ca="1" si="13"/>
        <v>156.63436805267384</v>
      </c>
      <c r="J27" s="306">
        <f t="shared" ca="1" si="14"/>
        <v>255.34911930828443</v>
      </c>
      <c r="K27" s="307">
        <f t="shared" ca="1" si="15"/>
        <v>1995.999885823268</v>
      </c>
      <c r="L27" s="304">
        <f t="shared" ca="1" si="0"/>
        <v>2012.2670590500693</v>
      </c>
      <c r="M27" s="306">
        <f t="shared" ca="1" si="16"/>
        <v>1.4036846068245978</v>
      </c>
      <c r="N27" s="304">
        <f t="shared" ca="1" si="17"/>
        <v>80.425203738529802</v>
      </c>
      <c r="P27" s="310">
        <f t="shared" ca="1" si="18"/>
        <v>3</v>
      </c>
      <c r="Q27" s="304">
        <f t="shared" ca="1" si="19"/>
        <v>194.05172413793153</v>
      </c>
      <c r="R27" s="306">
        <f t="shared" ca="1" si="20"/>
        <v>0.10299291171600408</v>
      </c>
      <c r="S27" s="307">
        <f t="shared" ca="1" si="21"/>
        <v>1.8357806248729049</v>
      </c>
      <c r="T27" s="304">
        <f t="shared" ca="1" si="1"/>
        <v>18.009007930003197</v>
      </c>
      <c r="U27" s="311">
        <f t="shared" ca="1" si="2"/>
        <v>0</v>
      </c>
      <c r="V27" s="306">
        <f t="shared" ca="1" si="3"/>
        <v>1.0026777711560724</v>
      </c>
      <c r="W27" s="304">
        <f t="shared" ca="1" si="4"/>
        <v>33.021935937942011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1995.999885823268</v>
      </c>
      <c r="AG27" s="306">
        <f t="shared" ca="1" si="27"/>
        <v>78.22026455840242</v>
      </c>
      <c r="AH27" s="304">
        <f t="shared" ca="1" si="28"/>
        <v>87.893774234609026</v>
      </c>
    </row>
    <row r="28" spans="1:34" x14ac:dyDescent="0.2">
      <c r="A28" s="347">
        <f t="shared" ca="1" si="6"/>
        <v>0.01</v>
      </c>
      <c r="B28" s="304">
        <f t="shared" ca="1" si="7"/>
        <v>10.939999999999994</v>
      </c>
      <c r="D28" s="306">
        <f t="shared" ca="1" si="8"/>
        <v>14.520464067368358</v>
      </c>
      <c r="E28" s="307">
        <f t="shared" ca="1" si="9"/>
        <v>76.270401824420418</v>
      </c>
      <c r="F28" s="304">
        <f t="shared" ca="1" si="10"/>
        <v>77.640312152839059</v>
      </c>
      <c r="G28" s="306">
        <f t="shared" ca="1" si="11"/>
        <v>26.19898265048716</v>
      </c>
      <c r="H28" s="307">
        <f t="shared" ca="1" si="12"/>
        <v>155.21504588030808</v>
      </c>
      <c r="I28" s="304">
        <f t="shared" ca="1" si="13"/>
        <v>157.41060053105278</v>
      </c>
      <c r="J28" s="306">
        <f t="shared" ca="1" si="14"/>
        <v>255.61038311158595</v>
      </c>
      <c r="K28" s="307">
        <f t="shared" ca="1" si="15"/>
        <v>1997.5482227619798</v>
      </c>
      <c r="L28" s="304">
        <f t="shared" ca="1" si="0"/>
        <v>2013.8360335970742</v>
      </c>
      <c r="M28" s="306">
        <f t="shared" ca="1" si="16"/>
        <v>1.4035809450399115</v>
      </c>
      <c r="N28" s="304">
        <f t="shared" ca="1" si="17"/>
        <v>80.41926435577048</v>
      </c>
      <c r="P28" s="310">
        <f t="shared" ca="1" si="18"/>
        <v>3</v>
      </c>
      <c r="Q28" s="304">
        <f t="shared" ca="1" si="19"/>
        <v>193.18965517241429</v>
      </c>
      <c r="R28" s="306">
        <f t="shared" ca="1" si="20"/>
        <v>0.10253536879412047</v>
      </c>
      <c r="S28" s="307">
        <f t="shared" ca="1" si="21"/>
        <v>1.8347552711849637</v>
      </c>
      <c r="T28" s="304">
        <f t="shared" ca="1" si="1"/>
        <v>17.998949210324493</v>
      </c>
      <c r="U28" s="311">
        <f t="shared" ca="1" si="2"/>
        <v>0</v>
      </c>
      <c r="V28" s="306">
        <f t="shared" ca="1" si="3"/>
        <v>1.0025209720552954</v>
      </c>
      <c r="W28" s="304">
        <f t="shared" ca="1" si="4"/>
        <v>33.344825052647998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1997.5482227619798</v>
      </c>
      <c r="AG28" s="306">
        <f t="shared" ca="1" si="27"/>
        <v>77.623163263022477</v>
      </c>
      <c r="AH28" s="304">
        <f t="shared" ca="1" si="28"/>
        <v>87.296503108574854</v>
      </c>
    </row>
    <row r="29" spans="1:34" x14ac:dyDescent="0.2">
      <c r="A29" s="347">
        <f t="shared" ca="1" si="6"/>
        <v>0.01</v>
      </c>
      <c r="B29" s="304">
        <f t="shared" ca="1" si="7"/>
        <v>10.949999999999994</v>
      </c>
      <c r="D29" s="306">
        <f t="shared" ca="1" si="8"/>
        <v>14.429923631297841</v>
      </c>
      <c r="E29" s="307">
        <f t="shared" ca="1" si="9"/>
        <v>75.679627149304224</v>
      </c>
      <c r="F29" s="304">
        <f t="shared" ca="1" si="10"/>
        <v>77.043031232310639</v>
      </c>
      <c r="G29" s="306">
        <f t="shared" ca="1" si="11"/>
        <v>26.343281886800138</v>
      </c>
      <c r="H29" s="307">
        <f t="shared" ca="1" si="12"/>
        <v>155.97184215180113</v>
      </c>
      <c r="I29" s="304">
        <f t="shared" ca="1" si="13"/>
        <v>158.18085865487575</v>
      </c>
      <c r="J29" s="306">
        <f t="shared" ca="1" si="14"/>
        <v>255.87309443427239</v>
      </c>
      <c r="K29" s="307">
        <f t="shared" ca="1" si="15"/>
        <v>1999.1041572021404</v>
      </c>
      <c r="L29" s="304">
        <f t="shared" ca="1" si="0"/>
        <v>2015.4127298889055</v>
      </c>
      <c r="M29" s="306">
        <f t="shared" ca="1" si="16"/>
        <v>1.4034777246415191</v>
      </c>
      <c r="N29" s="304">
        <f t="shared" ca="1" si="17"/>
        <v>80.413350262582938</v>
      </c>
      <c r="P29" s="310">
        <f t="shared" ca="1" si="18"/>
        <v>3</v>
      </c>
      <c r="Q29" s="304">
        <f t="shared" ca="1" si="19"/>
        <v>192.32758620689708</v>
      </c>
      <c r="R29" s="306">
        <f t="shared" ca="1" si="20"/>
        <v>0.10207782587223685</v>
      </c>
      <c r="S29" s="307">
        <f t="shared" ca="1" si="21"/>
        <v>1.8337344929262414</v>
      </c>
      <c r="T29" s="304">
        <f t="shared" ca="1" si="1"/>
        <v>17.988935375606427</v>
      </c>
      <c r="U29" s="311">
        <f t="shared" ca="1" si="2"/>
        <v>0</v>
      </c>
      <c r="V29" s="306">
        <f t="shared" ca="1" si="3"/>
        <v>1.0023634257946914</v>
      </c>
      <c r="W29" s="304">
        <f t="shared" ca="1" si="4"/>
        <v>33.666664742203942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1999.1041572021404</v>
      </c>
      <c r="AG29" s="306">
        <f t="shared" ca="1" si="27"/>
        <v>77.025728115789946</v>
      </c>
      <c r="AH29" s="304">
        <f t="shared" ca="1" si="28"/>
        <v>86.698898759627511</v>
      </c>
    </row>
    <row r="30" spans="1:34" x14ac:dyDescent="0.2">
      <c r="A30" s="347">
        <f t="shared" ca="1" si="6"/>
        <v>0.01</v>
      </c>
      <c r="B30" s="304">
        <f t="shared" ca="1" si="7"/>
        <v>10.959999999999994</v>
      </c>
      <c r="D30" s="306">
        <f t="shared" ca="1" si="8"/>
        <v>14.33917209533028</v>
      </c>
      <c r="E30" s="307">
        <f t="shared" ca="1" si="9"/>
        <v>75.088574758106191</v>
      </c>
      <c r="F30" s="304">
        <f t="shared" ca="1" si="10"/>
        <v>76.445444047262882</v>
      </c>
      <c r="G30" s="306">
        <f t="shared" ca="1" si="11"/>
        <v>26.486673607753442</v>
      </c>
      <c r="H30" s="307">
        <f t="shared" ca="1" si="12"/>
        <v>156.72272789938219</v>
      </c>
      <c r="I30" s="304">
        <f t="shared" ca="1" si="13"/>
        <v>158.94513933753197</v>
      </c>
      <c r="J30" s="306">
        <f t="shared" ca="1" si="14"/>
        <v>256.13724421174516</v>
      </c>
      <c r="K30" s="307">
        <f t="shared" ca="1" si="15"/>
        <v>2000.6676300523964</v>
      </c>
      <c r="L30" s="304">
        <f t="shared" ca="1" si="0"/>
        <v>2016.9970882011355</v>
      </c>
      <c r="M30" s="306">
        <f t="shared" ca="1" si="16"/>
        <v>1.403374937755965</v>
      </c>
      <c r="N30" s="304">
        <f t="shared" ca="1" si="17"/>
        <v>80.407461007851396</v>
      </c>
      <c r="P30" s="310">
        <f t="shared" ca="1" si="18"/>
        <v>3</v>
      </c>
      <c r="Q30" s="304">
        <f t="shared" ca="1" si="19"/>
        <v>191.46551724137987</v>
      </c>
      <c r="R30" s="306">
        <f t="shared" ca="1" si="20"/>
        <v>0.10162028295035325</v>
      </c>
      <c r="S30" s="307">
        <f t="shared" ca="1" si="21"/>
        <v>1.8327182900967378</v>
      </c>
      <c r="T30" s="304">
        <f t="shared" ca="1" si="1"/>
        <v>17.978966425848999</v>
      </c>
      <c r="U30" s="311">
        <f t="shared" ca="1" si="2"/>
        <v>0</v>
      </c>
      <c r="V30" s="306">
        <f t="shared" ca="1" si="3"/>
        <v>1.0022051386780257</v>
      </c>
      <c r="W30" s="304">
        <f t="shared" ca="1" si="4"/>
        <v>33.987416458400212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2000.6676300523964</v>
      </c>
      <c r="AG30" s="306">
        <f t="shared" ca="1" si="27"/>
        <v>76.427984301708918</v>
      </c>
      <c r="AH30" s="304">
        <f t="shared" ca="1" si="28"/>
        <v>86.100986361000793</v>
      </c>
    </row>
    <row r="31" spans="1:34" x14ac:dyDescent="0.2">
      <c r="A31" s="347">
        <f t="shared" ca="1" si="6"/>
        <v>0.01</v>
      </c>
      <c r="B31" s="304">
        <f t="shared" ca="1" si="7"/>
        <v>10.969999999999994</v>
      </c>
      <c r="D31" s="306">
        <f t="shared" ca="1" si="8"/>
        <v>14.248214983080818</v>
      </c>
      <c r="E31" s="307">
        <f t="shared" ca="1" si="9"/>
        <v>74.497269116330386</v>
      </c>
      <c r="F31" s="304">
        <f t="shared" ca="1" si="10"/>
        <v>75.847575676451527</v>
      </c>
      <c r="G31" s="306">
        <f t="shared" ca="1" si="11"/>
        <v>26.62915575758425</v>
      </c>
      <c r="H31" s="307">
        <f t="shared" ca="1" si="12"/>
        <v>157.46770059054549</v>
      </c>
      <c r="I31" s="304">
        <f t="shared" ca="1" si="13"/>
        <v>159.70343974265353</v>
      </c>
      <c r="J31" s="306">
        <f t="shared" ca="1" si="14"/>
        <v>256.40282335857182</v>
      </c>
      <c r="K31" s="307">
        <f t="shared" ca="1" si="15"/>
        <v>2002.238582194846</v>
      </c>
      <c r="L31" s="304">
        <f t="shared" ca="1" si="0"/>
        <v>2018.5890487803292</v>
      </c>
      <c r="M31" s="306">
        <f t="shared" ca="1" si="16"/>
        <v>1.403272576664909</v>
      </c>
      <c r="N31" s="304">
        <f t="shared" ca="1" si="17"/>
        <v>80.40159614934754</v>
      </c>
      <c r="P31" s="310">
        <f t="shared" ca="1" si="18"/>
        <v>3</v>
      </c>
      <c r="Q31" s="304">
        <f t="shared" ca="1" si="19"/>
        <v>190.60344827586263</v>
      </c>
      <c r="R31" s="306">
        <f t="shared" ca="1" si="20"/>
        <v>0.10116274002846963</v>
      </c>
      <c r="S31" s="307">
        <f t="shared" ca="1" si="21"/>
        <v>1.8317066626964531</v>
      </c>
      <c r="T31" s="304">
        <f t="shared" ca="1" si="1"/>
        <v>17.969042361052207</v>
      </c>
      <c r="U31" s="311">
        <f t="shared" ca="1" si="2"/>
        <v>0</v>
      </c>
      <c r="V31" s="306">
        <f t="shared" ca="1" si="3"/>
        <v>1.0020461170097894</v>
      </c>
      <c r="W31" s="304">
        <f t="shared" ca="1" si="4"/>
        <v>34.30704206015875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2002.238582194846</v>
      </c>
      <c r="AG31" s="306">
        <f t="shared" ca="1" si="27"/>
        <v>75.829956845176781</v>
      </c>
      <c r="AH31" s="304">
        <f t="shared" ca="1" si="28"/>
        <v>85.5027909255449</v>
      </c>
    </row>
    <row r="32" spans="1:34" x14ac:dyDescent="0.2">
      <c r="A32" s="347">
        <f t="shared" ca="1" si="6"/>
        <v>0.01</v>
      </c>
      <c r="B32" s="304">
        <f t="shared" ca="1" si="7"/>
        <v>10.979999999999993</v>
      </c>
      <c r="D32" s="306">
        <f t="shared" ca="1" si="8"/>
        <v>14.157057770260472</v>
      </c>
      <c r="E32" s="307">
        <f t="shared" ca="1" si="9"/>
        <v>73.905734531895988</v>
      </c>
      <c r="F32" s="304">
        <f t="shared" ca="1" si="10"/>
        <v>75.249451037263881</v>
      </c>
      <c r="G32" s="306">
        <f t="shared" ca="1" si="11"/>
        <v>26.770726335286856</v>
      </c>
      <c r="H32" s="307">
        <f t="shared" ca="1" si="12"/>
        <v>158.20675793586446</v>
      </c>
      <c r="I32" s="304">
        <f t="shared" ca="1" si="13"/>
        <v>160.45575728248593</v>
      </c>
      <c r="J32" s="306">
        <f t="shared" ca="1" si="14"/>
        <v>256.66982276903616</v>
      </c>
      <c r="K32" s="307">
        <f t="shared" ca="1" si="15"/>
        <v>2003.8169544874781</v>
      </c>
      <c r="L32" s="304">
        <f t="shared" ca="1" si="0"/>
        <v>2020.1885518465253</v>
      </c>
      <c r="M32" s="306">
        <f t="shared" ca="1" si="16"/>
        <v>1.4031706338007379</v>
      </c>
      <c r="N32" s="304">
        <f t="shared" ca="1" si="17"/>
        <v>80.395755253479052</v>
      </c>
      <c r="P32" s="310">
        <f t="shared" ca="1" si="18"/>
        <v>3</v>
      </c>
      <c r="Q32" s="304">
        <f t="shared" ca="1" si="19"/>
        <v>189.74137931034539</v>
      </c>
      <c r="R32" s="306">
        <f t="shared" ca="1" si="20"/>
        <v>0.100705197106586</v>
      </c>
      <c r="S32" s="307">
        <f t="shared" ca="1" si="21"/>
        <v>1.8306996107253872</v>
      </c>
      <c r="T32" s="304">
        <f t="shared" ca="1" si="1"/>
        <v>17.959163181216049</v>
      </c>
      <c r="U32" s="311">
        <f t="shared" ca="1" si="2"/>
        <v>0</v>
      </c>
      <c r="V32" s="306">
        <f t="shared" ca="1" si="3"/>
        <v>1.0018863670949099</v>
      </c>
      <c r="W32" s="304">
        <f t="shared" ca="1" si="4"/>
        <v>34.625503815775609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2003.8169544874781</v>
      </c>
      <c r="AG32" s="306">
        <f t="shared" ca="1" si="27"/>
        <v>75.231670607639543</v>
      </c>
      <c r="AH32" s="304">
        <f t="shared" ca="1" si="28"/>
        <v>84.904337303375584</v>
      </c>
    </row>
    <row r="33" spans="1:34" x14ac:dyDescent="0.2">
      <c r="A33" s="347">
        <f t="shared" ca="1" si="6"/>
        <v>0.01</v>
      </c>
      <c r="B33" s="304">
        <f t="shared" ca="1" si="7"/>
        <v>10.989999999999993</v>
      </c>
      <c r="D33" s="306">
        <f t="shared" ca="1" si="8"/>
        <v>14.065705884909615</v>
      </c>
      <c r="E33" s="307">
        <f t="shared" ca="1" si="9"/>
        <v>73.313995152786518</v>
      </c>
      <c r="F33" s="304">
        <f t="shared" ca="1" si="10"/>
        <v>74.651094883488383</v>
      </c>
      <c r="G33" s="306">
        <f t="shared" ca="1" si="11"/>
        <v>26.911383394135953</v>
      </c>
      <c r="H33" s="307">
        <f t="shared" ca="1" si="12"/>
        <v>158.93989788739233</v>
      </c>
      <c r="I33" s="304">
        <f t="shared" ca="1" si="13"/>
        <v>161.2020896162357</v>
      </c>
      <c r="J33" s="306">
        <f t="shared" ca="1" si="14"/>
        <v>256.93823331768328</v>
      </c>
      <c r="K33" s="307">
        <f t="shared" ca="1" si="15"/>
        <v>2005.4026877665945</v>
      </c>
      <c r="L33" s="304">
        <f t="shared" ca="1" si="0"/>
        <v>2021.7955375957019</v>
      </c>
      <c r="M33" s="306">
        <f t="shared" ca="1" si="16"/>
        <v>1.4030691017423305</v>
      </c>
      <c r="N33" s="304">
        <f t="shared" ca="1" si="17"/>
        <v>80.389937895047041</v>
      </c>
      <c r="P33" s="310">
        <f t="shared" ca="1" si="18"/>
        <v>3</v>
      </c>
      <c r="Q33" s="304">
        <f t="shared" ca="1" si="19"/>
        <v>188.87931034482818</v>
      </c>
      <c r="R33" s="306">
        <f t="shared" ca="1" si="20"/>
        <v>0.1002476541847024</v>
      </c>
      <c r="S33" s="307">
        <f t="shared" ca="1" si="21"/>
        <v>1.8296971341835402</v>
      </c>
      <c r="T33" s="304">
        <f t="shared" ca="1" si="1"/>
        <v>17.949328886340531</v>
      </c>
      <c r="U33" s="311">
        <f t="shared" ca="1" si="2"/>
        <v>0</v>
      </c>
      <c r="V33" s="306">
        <f t="shared" ca="1" si="3"/>
        <v>1.0017258952384656</v>
      </c>
      <c r="W33" s="304">
        <f t="shared" ca="1" si="4"/>
        <v>34.942764405062185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2005.4026877665945</v>
      </c>
      <c r="AG33" s="306">
        <f t="shared" ca="1" si="27"/>
        <v>74.633150285301213</v>
      </c>
      <c r="AH33" s="304">
        <f t="shared" ca="1" si="28"/>
        <v>84.30565017957727</v>
      </c>
    </row>
    <row r="34" spans="1:34" x14ac:dyDescent="0.2">
      <c r="A34" s="347">
        <f t="shared" ca="1" si="6"/>
        <v>0.01</v>
      </c>
      <c r="B34" s="304">
        <f t="shared" ca="1" si="7"/>
        <v>10.999999999999993</v>
      </c>
      <c r="D34" s="306">
        <f t="shared" ca="1" si="8"/>
        <v>13.974164707616092</v>
      </c>
      <c r="E34" s="307">
        <f t="shared" ca="1" si="9"/>
        <v>72.722074964755478</v>
      </c>
      <c r="F34" s="304">
        <f t="shared" ca="1" si="10"/>
        <v>74.052531803140255</v>
      </c>
      <c r="G34" s="306">
        <f t="shared" ca="1" si="11"/>
        <v>27.051125041212114</v>
      </c>
      <c r="H34" s="307">
        <f t="shared" ca="1" si="12"/>
        <v>159.66711863703989</v>
      </c>
      <c r="I34" s="304">
        <f t="shared" ca="1" si="13"/>
        <v>161.94243464839556</v>
      </c>
      <c r="J34" s="306">
        <f t="shared" ca="1" si="14"/>
        <v>257.20804585986002</v>
      </c>
      <c r="K34" s="307">
        <f t="shared" ca="1" si="15"/>
        <v>2006.9957228492167</v>
      </c>
      <c r="L34" s="304">
        <f t="shared" ca="1" si="0"/>
        <v>2023.4099462022266</v>
      </c>
      <c r="M34" s="306">
        <f t="shared" ca="1" si="16"/>
        <v>1.4029679732109632</v>
      </c>
      <c r="N34" s="304">
        <f t="shared" ca="1" si="17"/>
        <v>80.384143657011336</v>
      </c>
      <c r="P34" s="310">
        <f t="shared" ca="1" si="18"/>
        <v>3</v>
      </c>
      <c r="Q34" s="304">
        <f t="shared" ca="1" si="19"/>
        <v>188.01724137931097</v>
      </c>
      <c r="R34" s="306">
        <f t="shared" ca="1" si="20"/>
        <v>9.9790111262818781E-2</v>
      </c>
      <c r="S34" s="307">
        <f t="shared" ca="1" si="21"/>
        <v>1.828699233070912</v>
      </c>
      <c r="T34" s="304">
        <f t="shared" ca="1" si="1"/>
        <v>17.939539476425647</v>
      </c>
      <c r="U34" s="311">
        <f t="shared" ca="1" si="2"/>
        <v>0</v>
      </c>
      <c r="V34" s="306">
        <f t="shared" ca="1" si="3"/>
        <v>1.0015647077453986</v>
      </c>
      <c r="W34" s="304">
        <f t="shared" ca="1" si="4"/>
        <v>35.258786921385649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>
        <f t="shared" ca="1" si="25"/>
        <v>10.999999999999993</v>
      </c>
      <c r="AD34" s="323">
        <f t="shared" ca="1" si="26"/>
        <v>257.20804585986002</v>
      </c>
      <c r="AE34" s="324">
        <f t="shared" ca="1" si="5"/>
        <v>2006.9957228492167</v>
      </c>
      <c r="AG34" s="306">
        <f t="shared" ca="1" si="27"/>
        <v>74.034420406886511</v>
      </c>
      <c r="AH34" s="304">
        <f t="shared" ca="1" si="28"/>
        <v>83.706754071960063</v>
      </c>
    </row>
    <row r="35" spans="1:34" x14ac:dyDescent="0.2">
      <c r="A35" s="347">
        <f t="shared" ca="1" si="6"/>
        <v>0.01</v>
      </c>
      <c r="B35" s="304">
        <f t="shared" ca="1" si="7"/>
        <v>11.009999999999993</v>
      </c>
      <c r="D35" s="306">
        <f t="shared" ca="1" si="8"/>
        <v>13.882439571719567</v>
      </c>
      <c r="E35" s="307">
        <f t="shared" ca="1" si="9"/>
        <v>72.129997789088748</v>
      </c>
      <c r="F35" s="304">
        <f t="shared" ca="1" si="10"/>
        <v>73.45378621634417</v>
      </c>
      <c r="G35" s="306">
        <f t="shared" ca="1" si="11"/>
        <v>27.189949436929311</v>
      </c>
      <c r="H35" s="307">
        <f t="shared" ca="1" si="12"/>
        <v>160.38841861493077</v>
      </c>
      <c r="I35" s="304">
        <f t="shared" ca="1" si="13"/>
        <v>162.67679052704798</v>
      </c>
      <c r="J35" s="306">
        <f t="shared" ca="1" si="14"/>
        <v>257.4792512322507</v>
      </c>
      <c r="K35" s="307">
        <f t="shared" ca="1" si="15"/>
        <v>2008.5960005354766</v>
      </c>
      <c r="L35" s="304">
        <f t="shared" ca="1" si="0"/>
        <v>2025.031717821287</v>
      </c>
      <c r="M35" s="306">
        <f t="shared" ca="1" si="16"/>
        <v>1.4028672410663596</v>
      </c>
      <c r="N35" s="304">
        <f t="shared" ca="1" si="17"/>
        <v>80.378372130264253</v>
      </c>
      <c r="P35" s="310">
        <f t="shared" ca="1" si="18"/>
        <v>3</v>
      </c>
      <c r="Q35" s="304">
        <f t="shared" ca="1" si="19"/>
        <v>187.15517241379374</v>
      </c>
      <c r="R35" s="306">
        <f t="shared" ca="1" si="20"/>
        <v>9.9332568340935165E-2</v>
      </c>
      <c r="S35" s="307">
        <f t="shared" ca="1" si="21"/>
        <v>1.8277059073875026</v>
      </c>
      <c r="T35" s="304">
        <f t="shared" ca="1" si="1"/>
        <v>17.929794951471401</v>
      </c>
      <c r="U35" s="311">
        <f t="shared" ca="1" si="2"/>
        <v>0</v>
      </c>
      <c r="V35" s="306">
        <f t="shared" ca="1" si="3"/>
        <v>1.001402810920234</v>
      </c>
      <c r="W35" s="304">
        <f t="shared" ca="1" si="4"/>
        <v>35.573534873609319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2008.5960005354766</v>
      </c>
      <c r="AG35" s="306">
        <f t="shared" ca="1" si="27"/>
        <v>73.435505331457847</v>
      </c>
      <c r="AH35" s="304">
        <f t="shared" ca="1" si="28"/>
        <v>83.107673328870874</v>
      </c>
    </row>
    <row r="36" spans="1:34" x14ac:dyDescent="0.2">
      <c r="A36" s="347">
        <f t="shared" ca="1" si="6"/>
        <v>0.01</v>
      </c>
      <c r="B36" s="304">
        <f t="shared" ca="1" si="7"/>
        <v>11.019999999999992</v>
      </c>
      <c r="D36" s="306">
        <f t="shared" ca="1" si="8"/>
        <v>13.790535763502358</v>
      </c>
      <c r="E36" s="307">
        <f t="shared" ca="1" si="9"/>
        <v>71.537787280423231</v>
      </c>
      <c r="F36" s="304">
        <f t="shared" ca="1" si="10"/>
        <v>72.854882373273526</v>
      </c>
      <c r="G36" s="306">
        <f t="shared" ca="1" si="11"/>
        <v>27.327854794564335</v>
      </c>
      <c r="H36" s="307">
        <f t="shared" ca="1" si="12"/>
        <v>161.103796487735</v>
      </c>
      <c r="I36" s="304">
        <f t="shared" ca="1" si="13"/>
        <v>163.40515564214712</v>
      </c>
      <c r="J36" s="306">
        <f t="shared" ca="1" si="14"/>
        <v>257.75184025340815</v>
      </c>
      <c r="K36" s="307">
        <f t="shared" ca="1" si="15"/>
        <v>2010.20346161099</v>
      </c>
      <c r="L36" s="304">
        <f t="shared" ca="1" si="0"/>
        <v>2026.6607925913072</v>
      </c>
      <c r="M36" s="306">
        <f t="shared" ca="1" si="16"/>
        <v>1.402766898302868</v>
      </c>
      <c r="N36" s="304">
        <f t="shared" ca="1" si="17"/>
        <v>80.372622913411504</v>
      </c>
      <c r="P36" s="310">
        <f t="shared" ca="1" si="18"/>
        <v>3</v>
      </c>
      <c r="Q36" s="304">
        <f t="shared" ca="1" si="19"/>
        <v>186.29310344827653</v>
      </c>
      <c r="R36" s="306">
        <f t="shared" ca="1" si="20"/>
        <v>9.8875025419051563E-2</v>
      </c>
      <c r="S36" s="307">
        <f t="shared" ca="1" si="21"/>
        <v>1.8267171571333121</v>
      </c>
      <c r="T36" s="304">
        <f t="shared" ca="1" si="1"/>
        <v>17.920095311477791</v>
      </c>
      <c r="U36" s="311">
        <f t="shared" ca="1" si="2"/>
        <v>0</v>
      </c>
      <c r="V36" s="306">
        <f t="shared" ca="1" si="3"/>
        <v>1.0012402110667975</v>
      </c>
      <c r="W36" s="304">
        <f t="shared" ca="1" si="4"/>
        <v>35.886972187933402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2010.20346161099</v>
      </c>
      <c r="AG36" s="306">
        <f t="shared" ca="1" si="27"/>
        <v>72.836429246285803</v>
      </c>
      <c r="AH36" s="304">
        <f t="shared" ca="1" si="28"/>
        <v>82.508432127058541</v>
      </c>
    </row>
    <row r="37" spans="1:34" x14ac:dyDescent="0.2">
      <c r="A37" s="347">
        <f t="shared" ca="1" si="6"/>
        <v>0.01</v>
      </c>
      <c r="B37" s="304">
        <f t="shared" ca="1" si="7"/>
        <v>11.029999999999992</v>
      </c>
      <c r="D37" s="306">
        <f t="shared" ca="1" si="8"/>
        <v>13.698458522368313</v>
      </c>
      <c r="E37" s="307">
        <f t="shared" ca="1" si="9"/>
        <v>70.945466924621698</v>
      </c>
      <c r="F37" s="304">
        <f t="shared" ca="1" si="10"/>
        <v>72.25584435214661</v>
      </c>
      <c r="G37" s="306">
        <f t="shared" ca="1" si="11"/>
        <v>27.464839379788017</v>
      </c>
      <c r="H37" s="307">
        <f t="shared" ca="1" si="12"/>
        <v>161.81325115698121</v>
      </c>
      <c r="I37" s="304">
        <f t="shared" ca="1" si="13"/>
        <v>164.12752862378034</v>
      </c>
      <c r="J37" s="306">
        <f t="shared" ca="1" si="14"/>
        <v>258.02580372427991</v>
      </c>
      <c r="K37" s="307">
        <f t="shared" ca="1" si="15"/>
        <v>2011.8180468492135</v>
      </c>
      <c r="L37" s="304">
        <f t="shared" ca="1" si="0"/>
        <v>2028.2971106363448</v>
      </c>
      <c r="M37" s="306">
        <f t="shared" ca="1" si="16"/>
        <v>1.4026669380457697</v>
      </c>
      <c r="N37" s="304">
        <f t="shared" ca="1" si="17"/>
        <v>80.366895612560725</v>
      </c>
      <c r="P37" s="310">
        <f t="shared" ca="1" si="18"/>
        <v>3</v>
      </c>
      <c r="Q37" s="304">
        <f t="shared" ca="1" si="19"/>
        <v>185.43103448275929</v>
      </c>
      <c r="R37" s="306">
        <f t="shared" ca="1" si="20"/>
        <v>9.8417482497167932E-2</v>
      </c>
      <c r="S37" s="307">
        <f t="shared" ca="1" si="21"/>
        <v>1.8257329823083404</v>
      </c>
      <c r="T37" s="304">
        <f t="shared" ca="1" si="1"/>
        <v>17.910440556444819</v>
      </c>
      <c r="U37" s="311">
        <f t="shared" ca="1" si="2"/>
        <v>0</v>
      </c>
      <c r="V37" s="306">
        <f t="shared" ca="1" si="3"/>
        <v>1.0010769144879377</v>
      </c>
      <c r="W37" s="304">
        <f t="shared" ca="1" si="4"/>
        <v>36.199063209637004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2011.8180468492135</v>
      </c>
      <c r="AG37" s="306">
        <f t="shared" ca="1" si="27"/>
        <v>72.237216164773443</v>
      </c>
      <c r="AH37" s="304">
        <f t="shared" ca="1" si="28"/>
        <v>81.90905446959276</v>
      </c>
    </row>
    <row r="38" spans="1:34" x14ac:dyDescent="0.2">
      <c r="A38" s="347">
        <f t="shared" ca="1" si="6"/>
        <v>0.01</v>
      </c>
      <c r="B38" s="304">
        <f t="shared" ca="1" si="7"/>
        <v>11.039999999999992</v>
      </c>
      <c r="D38" s="306">
        <f t="shared" ca="1" si="8"/>
        <v>13.606213041010184</v>
      </c>
      <c r="E38" s="307">
        <f t="shared" ca="1" si="9"/>
        <v>70.353060036703823</v>
      </c>
      <c r="F38" s="304">
        <f t="shared" ca="1" si="10"/>
        <v>71.656696057280001</v>
      </c>
      <c r="G38" s="306">
        <f t="shared" ca="1" si="11"/>
        <v>27.600901510198121</v>
      </c>
      <c r="H38" s="307">
        <f t="shared" ca="1" si="12"/>
        <v>162.51678175734824</v>
      </c>
      <c r="I38" s="304">
        <f t="shared" ca="1" si="13"/>
        <v>164.84390834040917</v>
      </c>
      <c r="J38" s="306">
        <f t="shared" ca="1" si="14"/>
        <v>258.30113242872983</v>
      </c>
      <c r="K38" s="307">
        <f t="shared" ca="1" si="15"/>
        <v>2013.4396970137852</v>
      </c>
      <c r="L38" s="304">
        <f t="shared" ca="1" si="0"/>
        <v>2029.9406120684732</v>
      </c>
      <c r="M38" s="306">
        <f t="shared" ca="1" si="16"/>
        <v>1.4025673535477092</v>
      </c>
      <c r="N38" s="304">
        <f t="shared" ca="1" si="17"/>
        <v>80.361189841116925</v>
      </c>
      <c r="P38" s="310">
        <f t="shared" ca="1" si="18"/>
        <v>3</v>
      </c>
      <c r="Q38" s="304">
        <f t="shared" ca="1" si="19"/>
        <v>184.56896551724208</v>
      </c>
      <c r="R38" s="306">
        <f t="shared" ca="1" si="20"/>
        <v>9.795993957528433E-2</v>
      </c>
      <c r="S38" s="307">
        <f t="shared" ca="1" si="21"/>
        <v>1.8247533829125875</v>
      </c>
      <c r="T38" s="304">
        <f t="shared" ca="1" si="1"/>
        <v>17.900830686372483</v>
      </c>
      <c r="U38" s="311">
        <f t="shared" ca="1" si="2"/>
        <v>0</v>
      </c>
      <c r="V38" s="306">
        <f t="shared" ca="1" si="3"/>
        <v>1.0009129274852513</v>
      </c>
      <c r="W38" s="304">
        <f t="shared" ca="1" si="4"/>
        <v>36.509772704721811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2013.4396970137852</v>
      </c>
      <c r="AG38" s="306">
        <f t="shared" ca="1" si="27"/>
        <v>71.637889924434546</v>
      </c>
      <c r="AH38" s="304">
        <f t="shared" ca="1" si="28"/>
        <v>81.309564183837182</v>
      </c>
    </row>
    <row r="39" spans="1:34" x14ac:dyDescent="0.2">
      <c r="A39" s="347">
        <f t="shared" ca="1" si="6"/>
        <v>0.01</v>
      </c>
      <c r="B39" s="304">
        <f t="shared" ca="1" si="7"/>
        <v>11.049999999999992</v>
      </c>
      <c r="D39" s="306">
        <f t="shared" ca="1" si="8"/>
        <v>13.513804465566388</v>
      </c>
      <c r="E39" s="307">
        <f t="shared" ca="1" si="9"/>
        <v>69.760589758833092</v>
      </c>
      <c r="F39" s="304">
        <f t="shared" ca="1" si="10"/>
        <v>71.057461217199219</v>
      </c>
      <c r="G39" s="306">
        <f t="shared" ca="1" si="11"/>
        <v>27.736039554853786</v>
      </c>
      <c r="H39" s="307">
        <f t="shared" ca="1" si="12"/>
        <v>163.21438765493656</v>
      </c>
      <c r="I39" s="304">
        <f t="shared" ca="1" si="13"/>
        <v>165.55429389709082</v>
      </c>
      <c r="J39" s="306">
        <f t="shared" ca="1" si="14"/>
        <v>258.57781713405507</v>
      </c>
      <c r="K39" s="307">
        <f t="shared" ca="1" si="15"/>
        <v>2015.0683528608467</v>
      </c>
      <c r="L39" s="304">
        <f t="shared" ca="1" si="0"/>
        <v>2031.5912369901428</v>
      </c>
      <c r="M39" s="306">
        <f t="shared" ca="1" si="16"/>
        <v>1.4024681381852415</v>
      </c>
      <c r="N39" s="304">
        <f t="shared" ca="1" si="17"/>
        <v>80.355505219584671</v>
      </c>
      <c r="P39" s="310">
        <f t="shared" ca="1" si="18"/>
        <v>3</v>
      </c>
      <c r="Q39" s="304">
        <f t="shared" ca="1" si="19"/>
        <v>183.70689655172484</v>
      </c>
      <c r="R39" s="306">
        <f t="shared" ca="1" si="20"/>
        <v>9.75023966534007E-2</v>
      </c>
      <c r="S39" s="307">
        <f t="shared" ca="1" si="21"/>
        <v>1.8237783589460534</v>
      </c>
      <c r="T39" s="304">
        <f t="shared" ca="1" si="1"/>
        <v>17.891265701260785</v>
      </c>
      <c r="U39" s="311">
        <f t="shared" ca="1" si="2"/>
        <v>0</v>
      </c>
      <c r="V39" s="306">
        <f t="shared" ca="1" si="3"/>
        <v>1.0007482563588079</v>
      </c>
      <c r="W39" s="304">
        <f t="shared" ca="1" si="4"/>
        <v>36.819065861458292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2015.0683528608467</v>
      </c>
      <c r="AG39" s="306">
        <f t="shared" ca="1" si="27"/>
        <v>71.038474184925334</v>
      </c>
      <c r="AH39" s="304">
        <f t="shared" ca="1" si="28"/>
        <v>80.709984919476199</v>
      </c>
    </row>
    <row r="40" spans="1:34" x14ac:dyDescent="0.2">
      <c r="A40" s="347">
        <f t="shared" ca="1" si="6"/>
        <v>0.01</v>
      </c>
      <c r="B40" s="304">
        <f t="shared" ca="1" si="7"/>
        <v>11.059999999999992</v>
      </c>
      <c r="D40" s="306">
        <f t="shared" ca="1" si="8"/>
        <v>13.421237895768128</v>
      </c>
      <c r="E40" s="307">
        <f t="shared" ca="1" si="9"/>
        <v>69.168079058359339</v>
      </c>
      <c r="F40" s="304">
        <f t="shared" ca="1" si="10"/>
        <v>70.458163382806475</v>
      </c>
      <c r="G40" s="306">
        <f t="shared" ca="1" si="11"/>
        <v>27.870251933811467</v>
      </c>
      <c r="H40" s="307">
        <f t="shared" ca="1" si="12"/>
        <v>163.90606844552016</v>
      </c>
      <c r="I40" s="304">
        <f t="shared" ca="1" si="13"/>
        <v>166.25868463368062</v>
      </c>
      <c r="J40" s="306">
        <f t="shared" ca="1" si="14"/>
        <v>258.85584859149839</v>
      </c>
      <c r="K40" s="307">
        <f t="shared" ca="1" si="15"/>
        <v>2016.7039551413491</v>
      </c>
      <c r="L40" s="304">
        <f t="shared" ca="1" si="0"/>
        <v>2033.2489254965278</v>
      </c>
      <c r="M40" s="306">
        <f t="shared" ca="1" si="16"/>
        <v>1.4023692854554928</v>
      </c>
      <c r="N40" s="304">
        <f t="shared" ca="1" si="17"/>
        <v>80.349841375376712</v>
      </c>
      <c r="P40" s="310">
        <f t="shared" ca="1" si="18"/>
        <v>3</v>
      </c>
      <c r="Q40" s="304">
        <f t="shared" ca="1" si="19"/>
        <v>182.84482758620763</v>
      </c>
      <c r="R40" s="306">
        <f t="shared" ca="1" si="20"/>
        <v>9.7044853731517097E-2</v>
      </c>
      <c r="S40" s="307">
        <f t="shared" ca="1" si="21"/>
        <v>1.8228079104087382</v>
      </c>
      <c r="T40" s="304">
        <f t="shared" ca="1" si="1"/>
        <v>17.881745601109724</v>
      </c>
      <c r="U40" s="311">
        <f t="shared" ca="1" si="2"/>
        <v>0</v>
      </c>
      <c r="V40" s="306">
        <f t="shared" ca="1" si="3"/>
        <v>1.0005829074068786</v>
      </c>
      <c r="W40" s="304">
        <f t="shared" ca="1" si="4"/>
        <v>37.126908291835221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2016.7039551413491</v>
      </c>
      <c r="AG40" s="306">
        <f t="shared" ca="1" si="27"/>
        <v>70.438992426130056</v>
      </c>
      <c r="AH40" s="304">
        <f t="shared" ca="1" si="28"/>
        <v>80.110340146595689</v>
      </c>
    </row>
    <row r="41" spans="1:34" x14ac:dyDescent="0.2">
      <c r="A41" s="347">
        <f t="shared" ca="1" si="6"/>
        <v>0.01</v>
      </c>
      <c r="B41" s="304">
        <f t="shared" ca="1" si="7"/>
        <v>11.069999999999991</v>
      </c>
      <c r="D41" s="306">
        <f t="shared" ca="1" si="8"/>
        <v>13.328518385077357</v>
      </c>
      <c r="E41" s="307">
        <f t="shared" ca="1" si="9"/>
        <v>68.575550725916884</v>
      </c>
      <c r="F41" s="304">
        <f t="shared" ca="1" si="10"/>
        <v>69.858825925606169</v>
      </c>
      <c r="G41" s="306">
        <f t="shared" ca="1" si="11"/>
        <v>28.003537117662241</v>
      </c>
      <c r="H41" s="307">
        <f t="shared" ca="1" si="12"/>
        <v>164.59182395277932</v>
      </c>
      <c r="I41" s="304">
        <f t="shared" ca="1" si="13"/>
        <v>166.9570801230154</v>
      </c>
      <c r="J41" s="306">
        <f t="shared" ca="1" si="14"/>
        <v>259.13521753675576</v>
      </c>
      <c r="K41" s="307">
        <f t="shared" ca="1" si="15"/>
        <v>2018.3464446033406</v>
      </c>
      <c r="L41" s="304">
        <f t="shared" ca="1" si="0"/>
        <v>2034.9136176778532</v>
      </c>
      <c r="M41" s="306">
        <f t="shared" ca="1" si="16"/>
        <v>1.4022707889729293</v>
      </c>
      <c r="N41" s="304">
        <f t="shared" ca="1" si="17"/>
        <v>80.344197942628952</v>
      </c>
      <c r="P41" s="310">
        <f t="shared" ca="1" si="18"/>
        <v>3</v>
      </c>
      <c r="Q41" s="304">
        <f t="shared" ca="1" si="19"/>
        <v>181.98275862069039</v>
      </c>
      <c r="R41" s="306">
        <f t="shared" ca="1" si="20"/>
        <v>9.6587310809633481E-2</v>
      </c>
      <c r="S41" s="307">
        <f t="shared" ca="1" si="21"/>
        <v>1.8218420373006419</v>
      </c>
      <c r="T41" s="304">
        <f t="shared" ca="1" si="1"/>
        <v>17.872270385919297</v>
      </c>
      <c r="U41" s="311">
        <f t="shared" ca="1" si="2"/>
        <v>0</v>
      </c>
      <c r="V41" s="306">
        <f t="shared" ca="1" si="3"/>
        <v>1.0004168869256675</v>
      </c>
      <c r="W41" s="304">
        <f t="shared" ca="1" si="4"/>
        <v>37.433266032912925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2018.3464446033406</v>
      </c>
      <c r="AG41" s="306">
        <f t="shared" ca="1" si="27"/>
        <v>69.839467946299891</v>
      </c>
      <c r="AH41" s="304">
        <f t="shared" ca="1" si="28"/>
        <v>79.510653153817287</v>
      </c>
    </row>
    <row r="42" spans="1:34" x14ac:dyDescent="0.2">
      <c r="A42" s="347">
        <f t="shared" ca="1" si="6"/>
        <v>0.01</v>
      </c>
      <c r="B42" s="304">
        <f t="shared" ca="1" si="7"/>
        <v>11.079999999999991</v>
      </c>
      <c r="D42" s="306">
        <f t="shared" ca="1" si="8"/>
        <v>13.2356509408165</v>
      </c>
      <c r="E42" s="307">
        <f t="shared" ca="1" si="9"/>
        <v>67.983027373578054</v>
      </c>
      <c r="F42" s="304">
        <f t="shared" ca="1" si="10"/>
        <v>69.259472035987969</v>
      </c>
      <c r="G42" s="306">
        <f t="shared" ca="1" si="11"/>
        <v>28.135893627070406</v>
      </c>
      <c r="H42" s="307">
        <f t="shared" ca="1" si="12"/>
        <v>165.2716542265151</v>
      </c>
      <c r="I42" s="304">
        <f t="shared" ca="1" si="13"/>
        <v>167.64948016907951</v>
      </c>
      <c r="J42" s="306">
        <f t="shared" ca="1" si="14"/>
        <v>259.41591469047944</v>
      </c>
      <c r="K42" s="307">
        <f t="shared" ca="1" si="15"/>
        <v>2019.995761994237</v>
      </c>
      <c r="L42" s="304">
        <f t="shared" ca="1" si="0"/>
        <v>2036.585253621703</v>
      </c>
      <c r="M42" s="306">
        <f t="shared" ca="1" si="16"/>
        <v>1.4021726424662304</v>
      </c>
      <c r="N42" s="304">
        <f t="shared" ca="1" si="17"/>
        <v>80.338574562021151</v>
      </c>
      <c r="P42" s="310">
        <f t="shared" ca="1" si="18"/>
        <v>3</v>
      </c>
      <c r="Q42" s="304">
        <f t="shared" ca="1" si="19"/>
        <v>181.12068965517318</v>
      </c>
      <c r="R42" s="306">
        <f t="shared" ca="1" si="20"/>
        <v>9.6129767887749865E-2</v>
      </c>
      <c r="S42" s="307">
        <f t="shared" ca="1" si="21"/>
        <v>1.8208807396217643</v>
      </c>
      <c r="T42" s="304">
        <f t="shared" ca="1" si="1"/>
        <v>17.86284005568951</v>
      </c>
      <c r="U42" s="311">
        <f t="shared" ca="1" si="2"/>
        <v>0</v>
      </c>
      <c r="V42" s="306">
        <f t="shared" ca="1" si="3"/>
        <v>1.0002502012090455</v>
      </c>
      <c r="W42" s="304">
        <f t="shared" ca="1" si="4"/>
        <v>37.738105548081577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2019.995761994237</v>
      </c>
      <c r="AG42" s="306">
        <f t="shared" ca="1" si="27"/>
        <v>69.239923860245597</v>
      </c>
      <c r="AH42" s="304">
        <f t="shared" ca="1" si="28"/>
        <v>78.910947046486527</v>
      </c>
    </row>
    <row r="43" spans="1:34" x14ac:dyDescent="0.2">
      <c r="A43" s="347">
        <f t="shared" ca="1" si="6"/>
        <v>0.01</v>
      </c>
      <c r="B43" s="304">
        <f t="shared" ca="1" si="7"/>
        <v>11.089999999999991</v>
      </c>
      <c r="D43" s="306">
        <f t="shared" ca="1" si="8"/>
        <v>13.142640524290497</v>
      </c>
      <c r="E43" s="307">
        <f t="shared" ca="1" si="9"/>
        <v>67.39053143306154</v>
      </c>
      <c r="F43" s="304">
        <f t="shared" ca="1" si="10"/>
        <v>68.660124721567314</v>
      </c>
      <c r="G43" s="306">
        <f t="shared" ca="1" si="11"/>
        <v>28.267320032313311</v>
      </c>
      <c r="H43" s="307">
        <f t="shared" ca="1" si="12"/>
        <v>165.94555954084572</v>
      </c>
      <c r="I43" s="304">
        <f t="shared" ca="1" si="13"/>
        <v>168.33588480515257</v>
      </c>
      <c r="J43" s="306">
        <f t="shared" ca="1" si="14"/>
        <v>259.69793075877635</v>
      </c>
      <c r="K43" s="307">
        <f t="shared" ca="1" si="15"/>
        <v>2021.6518480630739</v>
      </c>
      <c r="L43" s="304">
        <f t="shared" ca="1" si="0"/>
        <v>2038.2637734153134</v>
      </c>
      <c r="M43" s="306">
        <f t="shared" ca="1" si="16"/>
        <v>1.402074839775262</v>
      </c>
      <c r="N43" s="304">
        <f t="shared" ca="1" si="17"/>
        <v>80.332970880603639</v>
      </c>
      <c r="P43" s="310">
        <f t="shared" ca="1" si="18"/>
        <v>3</v>
      </c>
      <c r="Q43" s="304">
        <f t="shared" ca="1" si="19"/>
        <v>180.25862068965594</v>
      </c>
      <c r="R43" s="306">
        <f t="shared" ca="1" si="20"/>
        <v>9.5672224965866248E-2</v>
      </c>
      <c r="S43" s="307">
        <f t="shared" ca="1" si="21"/>
        <v>1.8199240173721056</v>
      </c>
      <c r="T43" s="304">
        <f t="shared" ca="1" si="1"/>
        <v>17.853454610420357</v>
      </c>
      <c r="U43" s="311">
        <f t="shared" ca="1" si="2"/>
        <v>0</v>
      </c>
      <c r="V43" s="306">
        <f t="shared" ca="1" si="3"/>
        <v>1.0000828565482851</v>
      </c>
      <c r="W43" s="304">
        <f t="shared" ca="1" si="4"/>
        <v>38.04139372822479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2021.6518480630739</v>
      </c>
      <c r="AG43" s="306">
        <f t="shared" ca="1" si="27"/>
        <v>68.640383097583268</v>
      </c>
      <c r="AH43" s="304">
        <f t="shared" ca="1" si="28"/>
        <v>78.311244744914163</v>
      </c>
    </row>
    <row r="44" spans="1:34" x14ac:dyDescent="0.2">
      <c r="A44" s="347">
        <f t="shared" ca="1" si="6"/>
        <v>0.01</v>
      </c>
      <c r="B44" s="304">
        <f t="shared" ca="1" si="7"/>
        <v>11.099999999999991</v>
      </c>
      <c r="D44" s="306">
        <f t="shared" ca="1" si="8"/>
        <v>13.049492050901774</v>
      </c>
      <c r="E44" s="307">
        <f t="shared" ca="1" si="9"/>
        <v>66.798085153995927</v>
      </c>
      <c r="F44" s="304">
        <f t="shared" ca="1" si="10"/>
        <v>68.060806805584079</v>
      </c>
      <c r="G44" s="306">
        <f t="shared" ca="1" si="11"/>
        <v>28.39781495282233</v>
      </c>
      <c r="H44" s="307">
        <f t="shared" ca="1" si="12"/>
        <v>166.61354039238569</v>
      </c>
      <c r="I44" s="304">
        <f t="shared" ca="1" si="13"/>
        <v>169.0162942919406</v>
      </c>
      <c r="J44" s="306">
        <f t="shared" ca="1" si="14"/>
        <v>259.98125643370201</v>
      </c>
      <c r="K44" s="307">
        <f t="shared" ca="1" si="15"/>
        <v>2023.31464356274</v>
      </c>
      <c r="L44" s="304">
        <f t="shared" ca="1" si="0"/>
        <v>2039.949117147843</v>
      </c>
      <c r="M44" s="306">
        <f t="shared" ca="1" si="16"/>
        <v>1.4019773748481466</v>
      </c>
      <c r="N44" s="304">
        <f t="shared" ca="1" si="17"/>
        <v>80.327386551629374</v>
      </c>
      <c r="P44" s="310">
        <f t="shared" ca="1" si="18"/>
        <v>3</v>
      </c>
      <c r="Q44" s="304">
        <f t="shared" ca="1" si="19"/>
        <v>179.39655172413873</v>
      </c>
      <c r="R44" s="306">
        <f t="shared" ca="1" si="20"/>
        <v>9.5214682043982632E-2</v>
      </c>
      <c r="S44" s="307">
        <f t="shared" ca="1" si="21"/>
        <v>1.8189718705516658</v>
      </c>
      <c r="T44" s="304">
        <f t="shared" ca="1" si="1"/>
        <v>17.844114050111841</v>
      </c>
      <c r="U44" s="311">
        <f t="shared" ca="1" si="2"/>
        <v>0</v>
      </c>
      <c r="V44" s="306">
        <f t="shared" ca="1" si="3"/>
        <v>0.99991485923179857</v>
      </c>
      <c r="W44" s="304">
        <f t="shared" ca="1" si="4"/>
        <v>38.343097892789487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2023.31464356274</v>
      </c>
      <c r="AG44" s="306">
        <f t="shared" ca="1" si="27"/>
        <v>68.040868401033279</v>
      </c>
      <c r="AH44" s="304">
        <f t="shared" ca="1" si="28"/>
        <v>77.711568982671039</v>
      </c>
    </row>
    <row r="45" spans="1:34" x14ac:dyDescent="0.2">
      <c r="A45" s="347">
        <f t="shared" ca="1" si="6"/>
        <v>0.01</v>
      </c>
      <c r="B45" s="304">
        <f t="shared" ca="1" si="7"/>
        <v>11.109999999999991</v>
      </c>
      <c r="D45" s="306">
        <f t="shared" ca="1" si="8"/>
        <v>12.956210390258837</v>
      </c>
      <c r="E45" s="307">
        <f t="shared" ca="1" si="9"/>
        <v>66.205710602237573</v>
      </c>
      <c r="F45" s="304">
        <f t="shared" ca="1" si="10"/>
        <v>67.461540925358975</v>
      </c>
      <c r="G45" s="306">
        <f t="shared" ca="1" si="11"/>
        <v>28.527377056724919</v>
      </c>
      <c r="H45" s="307">
        <f t="shared" ca="1" si="12"/>
        <v>167.27559749840808</v>
      </c>
      <c r="I45" s="304">
        <f t="shared" ca="1" si="13"/>
        <v>169.69070911569077</v>
      </c>
      <c r="J45" s="306">
        <f t="shared" ca="1" si="14"/>
        <v>260.26588239374973</v>
      </c>
      <c r="K45" s="307">
        <f t="shared" ca="1" si="15"/>
        <v>2024.9840892521941</v>
      </c>
      <c r="L45" s="304">
        <f t="shared" ca="1" si="0"/>
        <v>2041.6412249126279</v>
      </c>
      <c r="M45" s="306">
        <f t="shared" ca="1" si="16"/>
        <v>1.4018802417384246</v>
      </c>
      <c r="N45" s="304">
        <f t="shared" ca="1" si="17"/>
        <v>80.321821234391322</v>
      </c>
      <c r="P45" s="310">
        <f t="shared" ca="1" si="18"/>
        <v>3</v>
      </c>
      <c r="Q45" s="304">
        <f t="shared" ca="1" si="19"/>
        <v>178.53448275862149</v>
      </c>
      <c r="R45" s="306">
        <f t="shared" ca="1" si="20"/>
        <v>9.4757139122099016E-2</v>
      </c>
      <c r="S45" s="307">
        <f t="shared" ca="1" si="21"/>
        <v>1.8180242991604447</v>
      </c>
      <c r="T45" s="304">
        <f t="shared" ca="1" si="1"/>
        <v>17.834818374763962</v>
      </c>
      <c r="U45" s="311">
        <f t="shared" ca="1" si="2"/>
        <v>0</v>
      </c>
      <c r="V45" s="306">
        <f t="shared" ca="1" si="3"/>
        <v>0.99974621554487952</v>
      </c>
      <c r="W45" s="304">
        <f t="shared" ca="1" si="4"/>
        <v>38.643185790763333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2024.9840892521941</v>
      </c>
      <c r="AG45" s="306">
        <f t="shared" ca="1" si="27"/>
        <v>67.441402324772469</v>
      </c>
      <c r="AH45" s="304">
        <f t="shared" ca="1" si="28"/>
        <v>77.111942304936036</v>
      </c>
    </row>
    <row r="46" spans="1:34" x14ac:dyDescent="0.2">
      <c r="A46" s="347">
        <f t="shared" ca="1" si="6"/>
        <v>0.01</v>
      </c>
      <c r="B46" s="304">
        <f t="shared" ca="1" si="7"/>
        <v>11.11999999999999</v>
      </c>
      <c r="D46" s="306">
        <f t="shared" ca="1" si="8"/>
        <v>12.862800366279028</v>
      </c>
      <c r="E46" s="307">
        <f t="shared" ca="1" si="9"/>
        <v>65.613429658242978</v>
      </c>
      <c r="F46" s="304">
        <f t="shared" ca="1" si="10"/>
        <v>66.862349530808046</v>
      </c>
      <c r="G46" s="306">
        <f t="shared" ca="1" si="11"/>
        <v>28.656005060387709</v>
      </c>
      <c r="H46" s="307">
        <f t="shared" ca="1" si="12"/>
        <v>167.9317317949905</v>
      </c>
      <c r="I46" s="304">
        <f t="shared" ca="1" si="13"/>
        <v>170.35912998628982</v>
      </c>
      <c r="J46" s="306">
        <f t="shared" ca="1" si="14"/>
        <v>260.5517993043353</v>
      </c>
      <c r="K46" s="307">
        <f t="shared" ca="1" si="15"/>
        <v>2026.6601258986611</v>
      </c>
      <c r="L46" s="304">
        <f t="shared" ca="1" si="0"/>
        <v>2043.3400368094156</v>
      </c>
      <c r="M46" s="306">
        <f t="shared" ca="1" si="16"/>
        <v>1.4017834346023061</v>
      </c>
      <c r="N46" s="304">
        <f t="shared" ca="1" si="17"/>
        <v>80.316274594064993</v>
      </c>
      <c r="P46" s="310">
        <f t="shared" ca="1" si="18"/>
        <v>3</v>
      </c>
      <c r="Q46" s="304">
        <f t="shared" ca="1" si="19"/>
        <v>177.67241379310428</v>
      </c>
      <c r="R46" s="306">
        <f t="shared" ca="1" si="20"/>
        <v>9.4299596200215399E-2</v>
      </c>
      <c r="S46" s="307">
        <f t="shared" ca="1" si="21"/>
        <v>1.8170813031984425</v>
      </c>
      <c r="T46" s="304">
        <f t="shared" ca="1" si="1"/>
        <v>17.825567584376721</v>
      </c>
      <c r="U46" s="311">
        <f t="shared" ca="1" si="2"/>
        <v>0</v>
      </c>
      <c r="V46" s="306">
        <f t="shared" ca="1" si="3"/>
        <v>0.99957693176944395</v>
      </c>
      <c r="W46" s="304">
        <f t="shared" ca="1" si="4"/>
        <v>38.941625601559636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2026.6601258986611</v>
      </c>
      <c r="AG46" s="306">
        <f t="shared" ca="1" si="27"/>
        <v>66.842007232839023</v>
      </c>
      <c r="AH46" s="304">
        <f t="shared" ca="1" si="28"/>
        <v>76.512387066897048</v>
      </c>
    </row>
    <row r="47" spans="1:34" x14ac:dyDescent="0.2">
      <c r="A47" s="347">
        <f t="shared" ca="1" si="6"/>
        <v>0.01</v>
      </c>
      <c r="B47" s="304">
        <f t="shared" ca="1" si="7"/>
        <v>11.12999999999999</v>
      </c>
      <c r="D47" s="306">
        <f t="shared" ca="1" si="8"/>
        <v>12.769266757285981</v>
      </c>
      <c r="E47" s="307">
        <f t="shared" ca="1" si="9"/>
        <v>65.021264015495149</v>
      </c>
      <c r="F47" s="304">
        <f t="shared" ca="1" si="10"/>
        <v>66.263254883015321</v>
      </c>
      <c r="G47" s="306">
        <f t="shared" ca="1" si="11"/>
        <v>28.783697727960568</v>
      </c>
      <c r="H47" s="307">
        <f t="shared" ca="1" si="12"/>
        <v>168.58194443514546</v>
      </c>
      <c r="I47" s="304">
        <f t="shared" ca="1" si="13"/>
        <v>171.02155783534738</v>
      </c>
      <c r="J47" s="306">
        <f t="shared" ca="1" si="14"/>
        <v>260.83899781827705</v>
      </c>
      <c r="K47" s="307">
        <f t="shared" ca="1" si="15"/>
        <v>2028.3426942798119</v>
      </c>
      <c r="L47" s="304">
        <f t="shared" ca="1" si="0"/>
        <v>2045.0454929465823</v>
      </c>
      <c r="M47" s="306">
        <f t="shared" ca="1" si="16"/>
        <v>1.4016869476960072</v>
      </c>
      <c r="N47" s="304">
        <f t="shared" ca="1" si="17"/>
        <v>80.310746301555781</v>
      </c>
      <c r="P47" s="310">
        <f t="shared" ca="1" si="18"/>
        <v>3</v>
      </c>
      <c r="Q47" s="304">
        <f t="shared" ca="1" si="19"/>
        <v>176.81034482758707</v>
      </c>
      <c r="R47" s="306">
        <f t="shared" ca="1" si="20"/>
        <v>9.3842053278331797E-2</v>
      </c>
      <c r="S47" s="307">
        <f t="shared" ca="1" si="21"/>
        <v>1.8161428826656592</v>
      </c>
      <c r="T47" s="304">
        <f t="shared" ca="1" si="1"/>
        <v>17.816361678950116</v>
      </c>
      <c r="U47" s="311">
        <f t="shared" ca="1" si="2"/>
        <v>0</v>
      </c>
      <c r="V47" s="306">
        <f t="shared" ca="1" si="3"/>
        <v>0.99940701418377842</v>
      </c>
      <c r="W47" s="304">
        <f t="shared" ca="1" si="4"/>
        <v>39.238385935811699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2028.3426942798119</v>
      </c>
      <c r="AG47" s="306">
        <f t="shared" ca="1" si="27"/>
        <v>66.242705297590021</v>
      </c>
      <c r="AH47" s="304">
        <f t="shared" ca="1" si="28"/>
        <v>75.912925432204688</v>
      </c>
    </row>
    <row r="48" spans="1:34" x14ac:dyDescent="0.2">
      <c r="A48" s="347">
        <f t="shared" ca="1" si="6"/>
        <v>0.01</v>
      </c>
      <c r="B48" s="304">
        <f t="shared" ca="1" si="7"/>
        <v>11.13999999999999</v>
      </c>
      <c r="D48" s="306">
        <f t="shared" ca="1" si="8"/>
        <v>12.675614296102255</v>
      </c>
      <c r="E48" s="307">
        <f t="shared" ca="1" si="9"/>
        <v>64.429235178983745</v>
      </c>
      <c r="F48" s="304">
        <f t="shared" ca="1" si="10"/>
        <v>65.664279052863662</v>
      </c>
      <c r="G48" s="306">
        <f t="shared" ca="1" si="11"/>
        <v>28.910453870921589</v>
      </c>
      <c r="H48" s="307">
        <f t="shared" ca="1" si="12"/>
        <v>169.22623678693529</v>
      </c>
      <c r="I48" s="304">
        <f t="shared" ca="1" si="13"/>
        <v>171.67799381426431</v>
      </c>
      <c r="J48" s="306">
        <f t="shared" ca="1" si="14"/>
        <v>261.12746857627144</v>
      </c>
      <c r="K48" s="307">
        <f t="shared" ca="1" si="15"/>
        <v>2030.0317351859223</v>
      </c>
      <c r="L48" s="304">
        <f t="shared" ca="1" si="0"/>
        <v>2046.7575334433286</v>
      </c>
      <c r="M48" s="306">
        <f t="shared" ca="1" si="16"/>
        <v>1.4015907753731698</v>
      </c>
      <c r="N48" s="304">
        <f t="shared" ca="1" si="17"/>
        <v>80.305236033351235</v>
      </c>
      <c r="P48" s="310">
        <f t="shared" ca="1" si="18"/>
        <v>3</v>
      </c>
      <c r="Q48" s="304">
        <f t="shared" ca="1" si="19"/>
        <v>175.94827586206983</v>
      </c>
      <c r="R48" s="306">
        <f t="shared" ca="1" si="20"/>
        <v>9.338451035644818E-2</v>
      </c>
      <c r="S48" s="307">
        <f t="shared" ca="1" si="21"/>
        <v>1.8152090375620946</v>
      </c>
      <c r="T48" s="304">
        <f t="shared" ca="1" si="1"/>
        <v>17.807200658484149</v>
      </c>
      <c r="U48" s="311">
        <f t="shared" ca="1" si="2"/>
        <v>0</v>
      </c>
      <c r="V48" s="306">
        <f t="shared" ca="1" si="3"/>
        <v>0.99923646906228414</v>
      </c>
      <c r="W48" s="304">
        <f t="shared" ca="1" si="4"/>
        <v>39.533435836076514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2030.0317351859223</v>
      </c>
      <c r="AG48" s="306">
        <f t="shared" ca="1" si="27"/>
        <v>65.643518498211535</v>
      </c>
      <c r="AH48" s="304">
        <f t="shared" ca="1" si="28"/>
        <v>75.313579371478625</v>
      </c>
    </row>
    <row r="49" spans="1:34" x14ac:dyDescent="0.2">
      <c r="A49" s="347">
        <f t="shared" ca="1" si="6"/>
        <v>0.01</v>
      </c>
      <c r="B49" s="304">
        <f t="shared" ca="1" si="7"/>
        <v>11.14999999999999</v>
      </c>
      <c r="D49" s="306">
        <f t="shared" ca="1" si="8"/>
        <v>12.581847670137718</v>
      </c>
      <c r="E49" s="307">
        <f t="shared" ca="1" si="9"/>
        <v>63.83736446373895</v>
      </c>
      <c r="F49" s="304">
        <f t="shared" ca="1" si="10"/>
        <v>65.065443919724316</v>
      </c>
      <c r="G49" s="306">
        <f t="shared" ca="1" si="11"/>
        <v>29.036272347622965</v>
      </c>
      <c r="H49" s="307">
        <f t="shared" ca="1" si="12"/>
        <v>169.86461043157269</v>
      </c>
      <c r="I49" s="304">
        <f t="shared" ca="1" si="13"/>
        <v>172.32843929228653</v>
      </c>
      <c r="J49" s="306">
        <f t="shared" ca="1" si="14"/>
        <v>261.41720220736414</v>
      </c>
      <c r="K49" s="307">
        <f t="shared" ca="1" si="15"/>
        <v>2031.7271894220148</v>
      </c>
      <c r="L49" s="304">
        <f t="shared" ca="1" si="0"/>
        <v>2048.4760984318577</v>
      </c>
      <c r="M49" s="306">
        <f t="shared" ca="1" si="16"/>
        <v>1.401494912082359</v>
      </c>
      <c r="N49" s="304">
        <f t="shared" ca="1" si="17"/>
        <v>80.299743471377539</v>
      </c>
      <c r="P49" s="310">
        <f t="shared" ca="1" si="18"/>
        <v>3</v>
      </c>
      <c r="Q49" s="304">
        <f t="shared" ca="1" si="19"/>
        <v>175.08620689655262</v>
      </c>
      <c r="R49" s="306">
        <f t="shared" ca="1" si="20"/>
        <v>9.2926967434564564E-2</v>
      </c>
      <c r="S49" s="307">
        <f t="shared" ca="1" si="21"/>
        <v>1.8142797678877489</v>
      </c>
      <c r="T49" s="304">
        <f t="shared" ca="1" si="1"/>
        <v>17.798084522978819</v>
      </c>
      <c r="U49" s="311">
        <f t="shared" ca="1" si="2"/>
        <v>0</v>
      </c>
      <c r="V49" s="306">
        <f t="shared" ca="1" si="3"/>
        <v>0.99906530267523164</v>
      </c>
      <c r="W49" s="304">
        <f t="shared" ca="1" si="4"/>
        <v>39.826744777449598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2031.7271894220148</v>
      </c>
      <c r="AG49" s="306">
        <f t="shared" ca="1" si="27"/>
        <v>65.044468619281133</v>
      </c>
      <c r="AH49" s="304">
        <f t="shared" ca="1" si="28"/>
        <v>74.714370660866507</v>
      </c>
    </row>
    <row r="50" spans="1:34" x14ac:dyDescent="0.2">
      <c r="A50" s="347">
        <f t="shared" ca="1" si="6"/>
        <v>0.01</v>
      </c>
      <c r="B50" s="304">
        <f t="shared" ca="1" si="7"/>
        <v>11.159999999999989</v>
      </c>
      <c r="D50" s="306">
        <f t="shared" ca="1" si="8"/>
        <v>12.487971521474094</v>
      </c>
      <c r="E50" s="307">
        <f t="shared" ca="1" si="9"/>
        <v>63.245672993418054</v>
      </c>
      <c r="F50" s="304">
        <f t="shared" ca="1" si="10"/>
        <v>64.466771170204552</v>
      </c>
      <c r="G50" s="306">
        <f t="shared" ca="1" si="11"/>
        <v>29.161152062837708</v>
      </c>
      <c r="H50" s="307">
        <f t="shared" ca="1" si="12"/>
        <v>170.49706716150686</v>
      </c>
      <c r="I50" s="304">
        <f t="shared" ca="1" si="13"/>
        <v>172.97289585454516</v>
      </c>
      <c r="J50" s="306">
        <f t="shared" ca="1" si="14"/>
        <v>261.70818932941643</v>
      </c>
      <c r="K50" s="307">
        <f t="shared" ca="1" si="15"/>
        <v>2033.4289978099803</v>
      </c>
      <c r="L50" s="304">
        <f t="shared" ca="1" si="0"/>
        <v>2050.2011280595329</v>
      </c>
      <c r="M50" s="306">
        <f t="shared" ca="1" si="16"/>
        <v>1.4013993523646389</v>
      </c>
      <c r="N50" s="304">
        <f t="shared" ca="1" si="17"/>
        <v>80.294268302860715</v>
      </c>
      <c r="P50" s="310">
        <f t="shared" ca="1" si="18"/>
        <v>3</v>
      </c>
      <c r="Q50" s="304">
        <f t="shared" ca="1" si="19"/>
        <v>174.22413793103539</v>
      </c>
      <c r="R50" s="306">
        <f t="shared" ca="1" si="20"/>
        <v>9.2469424512680948E-2</v>
      </c>
      <c r="S50" s="307">
        <f t="shared" ca="1" si="21"/>
        <v>1.8133550736426221</v>
      </c>
      <c r="T50" s="304">
        <f t="shared" ca="1" si="1"/>
        <v>17.789013272434122</v>
      </c>
      <c r="U50" s="311">
        <f t="shared" ca="1" si="2"/>
        <v>0</v>
      </c>
      <c r="V50" s="306">
        <f t="shared" ca="1" si="3"/>
        <v>0.99889352128850994</v>
      </c>
      <c r="W50" s="304">
        <f t="shared" ca="1" si="4"/>
        <v>40.118282668091055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2033.4289978099803</v>
      </c>
      <c r="AG50" s="306">
        <f t="shared" ca="1" si="27"/>
        <v>64.445577249381927</v>
      </c>
      <c r="AH50" s="304">
        <f t="shared" ca="1" si="28"/>
        <v>74.115320880654494</v>
      </c>
    </row>
    <row r="51" spans="1:34" x14ac:dyDescent="0.2">
      <c r="A51" s="347">
        <f t="shared" ca="1" si="6"/>
        <v>0.01</v>
      </c>
      <c r="B51" s="304">
        <f t="shared" ca="1" si="7"/>
        <v>11.169999999999989</v>
      </c>
      <c r="D51" s="306">
        <f t="shared" ca="1" si="8"/>
        <v>12.393990446946143</v>
      </c>
      <c r="E51" s="307">
        <f t="shared" ca="1" si="9"/>
        <v>62.654181698945479</v>
      </c>
      <c r="F51" s="304">
        <f t="shared" ca="1" si="10"/>
        <v>63.868282296954462</v>
      </c>
      <c r="G51" s="306">
        <f t="shared" ca="1" si="11"/>
        <v>29.285091967307171</v>
      </c>
      <c r="H51" s="307">
        <f t="shared" ca="1" si="12"/>
        <v>171.12360897849632</v>
      </c>
      <c r="I51" s="304">
        <f t="shared" ca="1" si="13"/>
        <v>173.61136530008324</v>
      </c>
      <c r="J51" s="306">
        <f t="shared" ca="1" si="14"/>
        <v>262.00042054956714</v>
      </c>
      <c r="K51" s="307">
        <f t="shared" ca="1" si="15"/>
        <v>2035.1371011906804</v>
      </c>
      <c r="L51" s="304">
        <f t="shared" ca="1" si="0"/>
        <v>2051.932562491018</v>
      </c>
      <c r="M51" s="306">
        <f t="shared" ca="1" si="16"/>
        <v>1.4013040908512202</v>
      </c>
      <c r="N51" s="304">
        <f t="shared" ca="1" si="17"/>
        <v>80.288810220191792</v>
      </c>
      <c r="P51" s="310">
        <f t="shared" ca="1" si="18"/>
        <v>3</v>
      </c>
      <c r="Q51" s="304">
        <f t="shared" ca="1" si="19"/>
        <v>173.36206896551818</v>
      </c>
      <c r="R51" s="306">
        <f t="shared" ca="1" si="20"/>
        <v>9.2011881590797331E-2</v>
      </c>
      <c r="S51" s="307">
        <f t="shared" ca="1" si="21"/>
        <v>1.812434954826714</v>
      </c>
      <c r="T51" s="304">
        <f t="shared" ca="1" si="1"/>
        <v>17.779986906850066</v>
      </c>
      <c r="U51" s="311">
        <f t="shared" ca="1" si="2"/>
        <v>0</v>
      </c>
      <c r="V51" s="306">
        <f t="shared" ca="1" si="3"/>
        <v>0.99872113116338435</v>
      </c>
      <c r="W51" s="304">
        <f t="shared" ca="1" si="4"/>
        <v>40.408019849664619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2035.1371011906804</v>
      </c>
      <c r="AG51" s="306">
        <f t="shared" ca="1" si="27"/>
        <v>63.846865779769047</v>
      </c>
      <c r="AH51" s="304">
        <f t="shared" ca="1" si="28"/>
        <v>73.516451413930312</v>
      </c>
    </row>
    <row r="52" spans="1:34" x14ac:dyDescent="0.2">
      <c r="A52" s="347">
        <f t="shared" ca="1" si="6"/>
        <v>0.01</v>
      </c>
      <c r="B52" s="304">
        <f t="shared" ca="1" si="7"/>
        <v>11.179999999999989</v>
      </c>
      <c r="D52" s="306">
        <f t="shared" ca="1" si="8"/>
        <v>12.29990899821982</v>
      </c>
      <c r="E52" s="307">
        <f t="shared" ca="1" si="9"/>
        <v>62.062911317204893</v>
      </c>
      <c r="F52" s="304">
        <f t="shared" ca="1" si="10"/>
        <v>63.269998597532208</v>
      </c>
      <c r="G52" s="306">
        <f t="shared" ca="1" si="11"/>
        <v>29.408091057289369</v>
      </c>
      <c r="H52" s="307">
        <f t="shared" ca="1" si="12"/>
        <v>171.74423809166836</v>
      </c>
      <c r="I52" s="304">
        <f t="shared" ca="1" si="13"/>
        <v>174.24384963986961</v>
      </c>
      <c r="J52" s="306">
        <f t="shared" ca="1" si="14"/>
        <v>262.2938864646901</v>
      </c>
      <c r="K52" s="307">
        <f t="shared" ca="1" si="15"/>
        <v>2036.8514404260311</v>
      </c>
      <c r="L52" s="304">
        <f t="shared" ca="1" si="0"/>
        <v>2053.6703419103928</v>
      </c>
      <c r="M52" s="306">
        <f t="shared" ca="1" si="16"/>
        <v>1.4012091222611791</v>
      </c>
      <c r="N52" s="304">
        <f t="shared" ca="1" si="17"/>
        <v>80.283368920796136</v>
      </c>
      <c r="P52" s="310">
        <f t="shared" ca="1" si="18"/>
        <v>3</v>
      </c>
      <c r="Q52" s="304">
        <f t="shared" ca="1" si="19"/>
        <v>172.50000000000094</v>
      </c>
      <c r="R52" s="306">
        <f t="shared" ca="1" si="20"/>
        <v>9.1554338668913715E-2</v>
      </c>
      <c r="S52" s="307">
        <f t="shared" ca="1" si="21"/>
        <v>1.8115194114400248</v>
      </c>
      <c r="T52" s="304">
        <f t="shared" ca="1" si="1"/>
        <v>17.771005426226644</v>
      </c>
      <c r="U52" s="311">
        <f t="shared" ca="1" si="2"/>
        <v>0</v>
      </c>
      <c r="V52" s="306">
        <f t="shared" ca="1" si="3"/>
        <v>0.99854813855625379</v>
      </c>
      <c r="W52" s="304">
        <f t="shared" ca="1" si="4"/>
        <v>40.69592709769006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2036.8514404260311</v>
      </c>
      <c r="AG52" s="306">
        <f t="shared" ca="1" si="27"/>
        <v>63.248355403087054</v>
      </c>
      <c r="AH52" s="304">
        <f t="shared" ca="1" si="28"/>
        <v>72.917783445297403</v>
      </c>
    </row>
    <row r="53" spans="1:34" x14ac:dyDescent="0.2">
      <c r="A53" s="347">
        <f t="shared" ca="1" si="6"/>
        <v>0.01</v>
      </c>
      <c r="B53" s="304">
        <f t="shared" ca="1" si="7"/>
        <v>11.189999999999989</v>
      </c>
      <c r="D53" s="306">
        <f t="shared" ca="1" si="8"/>
        <v>12.205731681867968</v>
      </c>
      <c r="E53" s="307">
        <f t="shared" ca="1" si="9"/>
        <v>61.471882389783715</v>
      </c>
      <c r="F53" s="304">
        <f t="shared" ca="1" si="10"/>
        <v>62.67194117332857</v>
      </c>
      <c r="G53" s="306">
        <f t="shared" ca="1" si="11"/>
        <v>29.530148374108048</v>
      </c>
      <c r="H53" s="307">
        <f t="shared" ca="1" si="12"/>
        <v>172.35895691556621</v>
      </c>
      <c r="I53" s="304">
        <f t="shared" ca="1" si="13"/>
        <v>174.87035109480064</v>
      </c>
      <c r="J53" s="306">
        <f t="shared" ca="1" si="14"/>
        <v>262.58857766184707</v>
      </c>
      <c r="K53" s="307">
        <f t="shared" ca="1" si="15"/>
        <v>2038.5719564010674</v>
      </c>
      <c r="L53" s="304">
        <f t="shared" ca="1" si="0"/>
        <v>2055.4144065232554</v>
      </c>
      <c r="M53" s="306">
        <f t="shared" ca="1" si="16"/>
        <v>1.4011144413992456</v>
      </c>
      <c r="N53" s="304">
        <f t="shared" ca="1" si="17"/>
        <v>80.277944107006675</v>
      </c>
      <c r="P53" s="310">
        <f t="shared" ca="1" si="18"/>
        <v>3</v>
      </c>
      <c r="Q53" s="304">
        <f t="shared" ca="1" si="19"/>
        <v>171.63793103448373</v>
      </c>
      <c r="R53" s="306">
        <f t="shared" ca="1" si="20"/>
        <v>9.1096795747030113E-2</v>
      </c>
      <c r="S53" s="307">
        <f t="shared" ca="1" si="21"/>
        <v>1.8106084434825545</v>
      </c>
      <c r="T53" s="304">
        <f t="shared" ca="1" si="1"/>
        <v>17.762068830563859</v>
      </c>
      <c r="U53" s="311">
        <f t="shared" ca="1" si="2"/>
        <v>0</v>
      </c>
      <c r="V53" s="306">
        <f t="shared" ca="1" si="3"/>
        <v>0.99837454971840989</v>
      </c>
      <c r="W53" s="304">
        <f t="shared" ca="1" si="4"/>
        <v>40.981975621810079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2038.5719564010674</v>
      </c>
      <c r="AG53" s="306">
        <f t="shared" ca="1" si="27"/>
        <v>62.650067112138856</v>
      </c>
      <c r="AH53" s="304">
        <f t="shared" ca="1" si="28"/>
        <v>72.319337959640592</v>
      </c>
    </row>
    <row r="54" spans="1:34" x14ac:dyDescent="0.2">
      <c r="A54" s="347">
        <f t="shared" ca="1" si="6"/>
        <v>0.01</v>
      </c>
      <c r="B54" s="304">
        <f t="shared" ca="1" si="7"/>
        <v>11.199999999999989</v>
      </c>
      <c r="D54" s="306">
        <f t="shared" ca="1" si="8"/>
        <v>12.111462959443669</v>
      </c>
      <c r="E54" s="307">
        <f t="shared" ca="1" si="9"/>
        <v>60.881115261769537</v>
      </c>
      <c r="F54" s="304">
        <f t="shared" ca="1" si="10"/>
        <v>62.074130928550609</v>
      </c>
      <c r="G54" s="306">
        <f t="shared" ca="1" si="11"/>
        <v>29.651263003702486</v>
      </c>
      <c r="H54" s="307">
        <f t="shared" ca="1" si="12"/>
        <v>172.96776806818391</v>
      </c>
      <c r="I54" s="304">
        <f t="shared" ca="1" si="13"/>
        <v>175.49087209368983</v>
      </c>
      <c r="J54" s="306">
        <f t="shared" ca="1" si="14"/>
        <v>262.88448471873613</v>
      </c>
      <c r="K54" s="307">
        <f t="shared" ca="1" si="15"/>
        <v>2040.2985900259862</v>
      </c>
      <c r="L54" s="304">
        <f t="shared" ca="1" si="0"/>
        <v>2057.1646965588006</v>
      </c>
      <c r="M54" s="306">
        <f t="shared" ca="1" si="16"/>
        <v>1.4010200431536541</v>
      </c>
      <c r="N54" s="304">
        <f t="shared" ca="1" si="17"/>
        <v>80.27253548594085</v>
      </c>
      <c r="P54" s="310">
        <f t="shared" ca="1" si="18"/>
        <v>3</v>
      </c>
      <c r="Q54" s="304">
        <f t="shared" ca="1" si="19"/>
        <v>170.77586206896649</v>
      </c>
      <c r="R54" s="306">
        <f t="shared" ca="1" si="20"/>
        <v>9.0639252825146482E-2</v>
      </c>
      <c r="S54" s="307">
        <f t="shared" ca="1" si="21"/>
        <v>1.8097020509543029</v>
      </c>
      <c r="T54" s="304">
        <f t="shared" ca="1" si="1"/>
        <v>17.753177119861714</v>
      </c>
      <c r="U54" s="311">
        <f t="shared" ca="1" si="2"/>
        <v>0</v>
      </c>
      <c r="V54" s="306">
        <f t="shared" ca="1" si="3"/>
        <v>0.9982003708958026</v>
      </c>
      <c r="W54" s="304">
        <f t="shared" ca="1" si="4"/>
        <v>41.266137065973048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2040.2985900259862</v>
      </c>
      <c r="AG54" s="306">
        <f t="shared" ca="1" si="27"/>
        <v>62.05202169870563</v>
      </c>
      <c r="AH54" s="304">
        <f t="shared" ca="1" si="28"/>
        <v>71.721135740942941</v>
      </c>
    </row>
    <row r="55" spans="1:34" x14ac:dyDescent="0.2">
      <c r="A55" s="347">
        <f t="shared" ca="1" si="6"/>
        <v>0.01</v>
      </c>
      <c r="B55" s="304">
        <f t="shared" ca="1" si="7"/>
        <v>11.209999999999988</v>
      </c>
      <c r="D55" s="306">
        <f t="shared" ca="1" si="8"/>
        <v>12.017107247552007</v>
      </c>
      <c r="E55" s="307">
        <f t="shared" ca="1" si="9"/>
        <v>60.290630080597907</v>
      </c>
      <c r="F55" s="304">
        <f t="shared" ca="1" si="10"/>
        <v>61.476588569264841</v>
      </c>
      <c r="G55" s="306">
        <f t="shared" ca="1" si="11"/>
        <v>29.771434076178007</v>
      </c>
      <c r="H55" s="307">
        <f t="shared" ca="1" si="12"/>
        <v>173.5706743689899</v>
      </c>
      <c r="I55" s="304">
        <f t="shared" ca="1" si="13"/>
        <v>176.10541527124639</v>
      </c>
      <c r="J55" s="306">
        <f t="shared" ca="1" si="14"/>
        <v>263.18159820413553</v>
      </c>
      <c r="K55" s="307">
        <f t="shared" ca="1" si="15"/>
        <v>2042.031282238172</v>
      </c>
      <c r="L55" s="304">
        <f t="shared" ca="1" si="0"/>
        <v>2058.9211522718774</v>
      </c>
      <c r="M55" s="306">
        <f t="shared" ca="1" si="16"/>
        <v>1.4009259224940624</v>
      </c>
      <c r="N55" s="304">
        <f t="shared" ca="1" si="17"/>
        <v>80.267142769381252</v>
      </c>
      <c r="P55" s="310">
        <f t="shared" ca="1" si="18"/>
        <v>3</v>
      </c>
      <c r="Q55" s="304">
        <f t="shared" ca="1" si="19"/>
        <v>169.91379310344928</v>
      </c>
      <c r="R55" s="306">
        <f t="shared" ca="1" si="20"/>
        <v>9.018170990326288E-2</v>
      </c>
      <c r="S55" s="307">
        <f t="shared" ca="1" si="21"/>
        <v>1.8088002338552702</v>
      </c>
      <c r="T55" s="304">
        <f t="shared" ca="1" si="1"/>
        <v>17.744330294120203</v>
      </c>
      <c r="U55" s="311">
        <f t="shared" ca="1" si="2"/>
        <v>0</v>
      </c>
      <c r="V55" s="306">
        <f t="shared" ca="1" si="3"/>
        <v>0.99802560832880227</v>
      </c>
      <c r="W55" s="304">
        <f t="shared" ca="1" si="4"/>
        <v>41.548383508531813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2042.031282238172</v>
      </c>
      <c r="AG55" s="306">
        <f t="shared" ca="1" si="27"/>
        <v>61.454239752417209</v>
      </c>
      <c r="AH55" s="304">
        <f t="shared" ca="1" si="28"/>
        <v>71.123197371153083</v>
      </c>
    </row>
    <row r="56" spans="1:34" x14ac:dyDescent="0.2">
      <c r="A56" s="347">
        <f t="shared" ca="1" si="6"/>
        <v>0.01</v>
      </c>
      <c r="B56" s="304">
        <f t="shared" ca="1" si="7"/>
        <v>11.219999999999988</v>
      </c>
      <c r="D56" s="306">
        <f t="shared" ca="1" si="8"/>
        <v>11.922668917920015</v>
      </c>
      <c r="E56" s="307">
        <f t="shared" ca="1" si="9"/>
        <v>59.70044679495129</v>
      </c>
      <c r="F56" s="304">
        <f t="shared" ca="1" si="10"/>
        <v>60.879334602499931</v>
      </c>
      <c r="G56" s="306">
        <f t="shared" ca="1" si="11"/>
        <v>29.890660765357207</v>
      </c>
      <c r="H56" s="307">
        <f t="shared" ca="1" si="12"/>
        <v>174.16767883693942</v>
      </c>
      <c r="I56" s="304">
        <f t="shared" ca="1" si="13"/>
        <v>176.71398346604306</v>
      </c>
      <c r="J56" s="306">
        <f t="shared" ca="1" si="14"/>
        <v>263.47990867834318</v>
      </c>
      <c r="K56" s="307">
        <f t="shared" ca="1" si="15"/>
        <v>2043.7699740042017</v>
      </c>
      <c r="L56" s="304">
        <f t="shared" ca="1" si="0"/>
        <v>2060.6837139450304</v>
      </c>
      <c r="M56" s="306">
        <f t="shared" ca="1" si="16"/>
        <v>1.4008320744695268</v>
      </c>
      <c r="N56" s="304">
        <f t="shared" ca="1" si="17"/>
        <v>80.261765673659724</v>
      </c>
      <c r="P56" s="310">
        <f t="shared" ca="1" si="18"/>
        <v>3</v>
      </c>
      <c r="Q56" s="304">
        <f t="shared" ca="1" si="19"/>
        <v>169.05172413793207</v>
      </c>
      <c r="R56" s="306">
        <f t="shared" ca="1" si="20"/>
        <v>8.9724166981379264E-2</v>
      </c>
      <c r="S56" s="307">
        <f t="shared" ca="1" si="21"/>
        <v>1.8079029921854564</v>
      </c>
      <c r="T56" s="304">
        <f t="shared" ca="1" si="1"/>
        <v>17.735528353339326</v>
      </c>
      <c r="U56" s="311">
        <f t="shared" ca="1" si="2"/>
        <v>0</v>
      </c>
      <c r="V56" s="306">
        <f t="shared" ca="1" si="3"/>
        <v>0.99785026825197187</v>
      </c>
      <c r="W56" s="304">
        <f t="shared" ca="1" si="4"/>
        <v>41.828687462260774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2043.7699740042017</v>
      </c>
      <c r="AG56" s="306">
        <f t="shared" ca="1" si="27"/>
        <v>60.856741659672871</v>
      </c>
      <c r="AH56" s="304">
        <f t="shared" ca="1" si="28"/>
        <v>70.525543229103107</v>
      </c>
    </row>
    <row r="57" spans="1:34" x14ac:dyDescent="0.2">
      <c r="A57" s="347">
        <f t="shared" ca="1" si="6"/>
        <v>0.01</v>
      </c>
      <c r="B57" s="304">
        <f t="shared" ca="1" si="7"/>
        <v>11.229999999999988</v>
      </c>
      <c r="D57" s="306">
        <f t="shared" ca="1" si="8"/>
        <v>11.828152297465733</v>
      </c>
      <c r="E57" s="307">
        <f t="shared" ca="1" si="9"/>
        <v>59.110585153708641</v>
      </c>
      <c r="F57" s="304">
        <f t="shared" ca="1" si="10"/>
        <v>60.282389335409427</v>
      </c>
      <c r="G57" s="306">
        <f t="shared" ca="1" si="11"/>
        <v>30.008942288331866</v>
      </c>
      <c r="H57" s="307">
        <f t="shared" ca="1" si="12"/>
        <v>174.75878468847651</v>
      </c>
      <c r="I57" s="304">
        <f t="shared" ca="1" si="13"/>
        <v>177.31657971847338</v>
      </c>
      <c r="J57" s="306">
        <f t="shared" ca="1" si="14"/>
        <v>263.77940669361163</v>
      </c>
      <c r="K57" s="307">
        <f t="shared" ca="1" si="15"/>
        <v>2045.5146063218288</v>
      </c>
      <c r="L57" s="304">
        <f t="shared" ca="1" si="0"/>
        <v>2062.4523218905156</v>
      </c>
      <c r="M57" s="306">
        <f t="shared" ca="1" si="16"/>
        <v>1.4007384942065386</v>
      </c>
      <c r="N57" s="304">
        <f t="shared" ca="1" si="17"/>
        <v>80.25640391954478</v>
      </c>
      <c r="P57" s="310">
        <f t="shared" ca="1" si="18"/>
        <v>3</v>
      </c>
      <c r="Q57" s="304">
        <f t="shared" ca="1" si="19"/>
        <v>168.18965517241483</v>
      </c>
      <c r="R57" s="306">
        <f t="shared" ca="1" si="20"/>
        <v>8.9266624059495647E-2</v>
      </c>
      <c r="S57" s="307">
        <f t="shared" ca="1" si="21"/>
        <v>1.8070103259448613</v>
      </c>
      <c r="T57" s="304">
        <f t="shared" ca="1" si="1"/>
        <v>17.72677129751909</v>
      </c>
      <c r="U57" s="311">
        <f t="shared" ca="1" si="2"/>
        <v>0</v>
      </c>
      <c r="V57" s="306">
        <f t="shared" ca="1" si="3"/>
        <v>0.99767435689383455</v>
      </c>
      <c r="W57" s="304">
        <f t="shared" ca="1" si="4"/>
        <v>42.107021874290901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2045.5146063218288</v>
      </c>
      <c r="AG57" s="306">
        <f t="shared" ca="1" si="27"/>
        <v>60.259547602612017</v>
      </c>
      <c r="AH57" s="304">
        <f t="shared" ca="1" si="28"/>
        <v>69.928193489476385</v>
      </c>
    </row>
    <row r="58" spans="1:34" x14ac:dyDescent="0.2">
      <c r="A58" s="347">
        <f t="shared" ca="1" si="6"/>
        <v>0.01</v>
      </c>
      <c r="B58" s="304">
        <f t="shared" ca="1" si="7"/>
        <v>11.239999999999988</v>
      </c>
      <c r="D58" s="306">
        <f t="shared" ca="1" si="8"/>
        <v>11.733561668366274</v>
      </c>
      <c r="E58" s="307">
        <f t="shared" ca="1" si="9"/>
        <v>58.521064704945587</v>
      </c>
      <c r="F58" s="304">
        <f t="shared" ca="1" si="10"/>
        <v>59.685772874494823</v>
      </c>
      <c r="G58" s="306">
        <f t="shared" ca="1" si="11"/>
        <v>30.126277905015527</v>
      </c>
      <c r="H58" s="307">
        <f t="shared" ca="1" si="12"/>
        <v>175.34399533552596</v>
      </c>
      <c r="I58" s="304">
        <f t="shared" ca="1" si="13"/>
        <v>177.91320726869935</v>
      </c>
      <c r="J58" s="306">
        <f t="shared" ca="1" si="14"/>
        <v>264.08008279457835</v>
      </c>
      <c r="K58" s="307">
        <f t="shared" ca="1" si="15"/>
        <v>2047.2651202219488</v>
      </c>
      <c r="L58" s="304">
        <f t="shared" ca="1" si="0"/>
        <v>2064.2269164523027</v>
      </c>
      <c r="M58" s="306">
        <f t="shared" ca="1" si="16"/>
        <v>1.4006451769071173</v>
      </c>
      <c r="N58" s="304">
        <f t="shared" ca="1" si="17"/>
        <v>80.251057232132382</v>
      </c>
      <c r="P58" s="310">
        <f t="shared" ca="1" si="18"/>
        <v>3</v>
      </c>
      <c r="Q58" s="304">
        <f t="shared" ca="1" si="19"/>
        <v>167.32758620689759</v>
      </c>
      <c r="R58" s="306">
        <f t="shared" ca="1" si="20"/>
        <v>8.8809081137612017E-2</v>
      </c>
      <c r="S58" s="307">
        <f t="shared" ca="1" si="21"/>
        <v>1.8061222351334851</v>
      </c>
      <c r="T58" s="304">
        <f t="shared" ca="1" si="1"/>
        <v>17.71805912665949</v>
      </c>
      <c r="U58" s="311">
        <f t="shared" ca="1" si="2"/>
        <v>0</v>
      </c>
      <c r="V58" s="306">
        <f t="shared" ca="1" si="3"/>
        <v>0.99749788047664756</v>
      </c>
      <c r="W58" s="304">
        <f t="shared" ca="1" si="4"/>
        <v>42.383360125964884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2047.2651202219488</v>
      </c>
      <c r="AG58" s="306">
        <f t="shared" ca="1" si="27"/>
        <v>59.662677558134767</v>
      </c>
      <c r="AH58" s="304">
        <f t="shared" ca="1" si="28"/>
        <v>69.331168121825385</v>
      </c>
    </row>
    <row r="59" spans="1:34" x14ac:dyDescent="0.2">
      <c r="A59" s="347">
        <f t="shared" ca="1" si="6"/>
        <v>0.01</v>
      </c>
      <c r="B59" s="304">
        <f t="shared" ca="1" si="7"/>
        <v>11.249999999999988</v>
      </c>
      <c r="D59" s="306">
        <f t="shared" ca="1" si="8"/>
        <v>11.638901268125265</v>
      </c>
      <c r="E59" s="307">
        <f t="shared" ca="1" si="9"/>
        <v>57.931904794984348</v>
      </c>
      <c r="F59" s="304">
        <f t="shared" ca="1" si="10"/>
        <v>59.089505124889129</v>
      </c>
      <c r="G59" s="306">
        <f t="shared" ca="1" si="11"/>
        <v>30.242666917696781</v>
      </c>
      <c r="H59" s="307">
        <f t="shared" ca="1" si="12"/>
        <v>175.9233143834758</v>
      </c>
      <c r="I59" s="304">
        <f t="shared" ca="1" si="13"/>
        <v>178.50386955458981</v>
      </c>
      <c r="J59" s="306">
        <f t="shared" ca="1" si="14"/>
        <v>264.3819275186919</v>
      </c>
      <c r="K59" s="307">
        <f t="shared" ca="1" si="15"/>
        <v>2049.0214567705439</v>
      </c>
      <c r="L59" s="304">
        <f t="shared" ca="1" si="0"/>
        <v>2066.0074380080487</v>
      </c>
      <c r="M59" s="306">
        <f t="shared" ca="1" si="16"/>
        <v>1.4005521178469582</v>
      </c>
      <c r="N59" s="304">
        <f t="shared" ca="1" si="17"/>
        <v>80.24572534073981</v>
      </c>
      <c r="P59" s="310">
        <f t="shared" ca="1" si="18"/>
        <v>3</v>
      </c>
      <c r="Q59" s="304">
        <f t="shared" ca="1" si="19"/>
        <v>166.46551724138038</v>
      </c>
      <c r="R59" s="306">
        <f t="shared" ca="1" si="20"/>
        <v>8.8351538215728415E-2</v>
      </c>
      <c r="S59" s="307">
        <f t="shared" ca="1" si="21"/>
        <v>1.8052387197513278</v>
      </c>
      <c r="T59" s="304">
        <f t="shared" ca="1" si="1"/>
        <v>17.709391840760528</v>
      </c>
      <c r="U59" s="311">
        <f t="shared" ca="1" si="2"/>
        <v>0</v>
      </c>
      <c r="V59" s="306">
        <f t="shared" ca="1" si="3"/>
        <v>0.99732084521617992</v>
      </c>
      <c r="W59" s="304">
        <f t="shared" ca="1" si="4"/>
        <v>42.657676032612912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2049.0214567705439</v>
      </c>
      <c r="AG59" s="306">
        <f t="shared" ca="1" si="27"/>
        <v>59.066151296971519</v>
      </c>
      <c r="AH59" s="304">
        <f t="shared" ca="1" si="28"/>
        <v>68.734486889638532</v>
      </c>
    </row>
    <row r="60" spans="1:34" x14ac:dyDescent="0.2">
      <c r="A60" s="347">
        <f t="shared" ca="1" si="6"/>
        <v>0.01</v>
      </c>
      <c r="B60" s="304">
        <f t="shared" ca="1" si="7"/>
        <v>11.259999999999987</v>
      </c>
      <c r="D60" s="306">
        <f t="shared" ca="1" si="8"/>
        <v>11.544175289640018</v>
      </c>
      <c r="E60" s="307">
        <f t="shared" ca="1" si="9"/>
        <v>57.343124567493092</v>
      </c>
      <c r="F60" s="304">
        <f t="shared" ca="1" si="10"/>
        <v>58.493605789701192</v>
      </c>
      <c r="G60" s="306">
        <f t="shared" ca="1" si="11"/>
        <v>30.358108670593182</v>
      </c>
      <c r="H60" s="307">
        <f t="shared" ca="1" si="12"/>
        <v>176.49674562915072</v>
      </c>
      <c r="I60" s="304">
        <f t="shared" ca="1" si="13"/>
        <v>179.08857020964984</v>
      </c>
      <c r="J60" s="306">
        <f t="shared" ca="1" si="14"/>
        <v>264.68493139663337</v>
      </c>
      <c r="K60" s="307">
        <f t="shared" ca="1" si="15"/>
        <v>2050.783557070607</v>
      </c>
      <c r="L60" s="304">
        <f t="shared" ca="1" si="0"/>
        <v>2067.7938269710576</v>
      </c>
      <c r="M60" s="306">
        <f t="shared" ca="1" si="16"/>
        <v>1.4004593123736313</v>
      </c>
      <c r="N60" s="304">
        <f t="shared" ca="1" si="17"/>
        <v>80.240407978802466</v>
      </c>
      <c r="P60" s="310">
        <f t="shared" ca="1" si="18"/>
        <v>3</v>
      </c>
      <c r="Q60" s="304">
        <f t="shared" ca="1" si="19"/>
        <v>165.60344827586317</v>
      </c>
      <c r="R60" s="306">
        <f t="shared" ca="1" si="20"/>
        <v>8.7893995293844812E-2</v>
      </c>
      <c r="S60" s="307">
        <f t="shared" ca="1" si="21"/>
        <v>1.8043597797983892</v>
      </c>
      <c r="T60" s="304">
        <f t="shared" ca="1" si="1"/>
        <v>17.700769439822199</v>
      </c>
      <c r="U60" s="311">
        <f t="shared" ca="1" si="2"/>
        <v>0</v>
      </c>
      <c r="V60" s="306">
        <f t="shared" ca="1" si="3"/>
        <v>0.99714325732148856</v>
      </c>
      <c r="W60" s="304">
        <f t="shared" ca="1" si="4"/>
        <v>42.929943843250186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2050.783557070607</v>
      </c>
      <c r="AG60" s="306">
        <f t="shared" ca="1" si="27"/>
        <v>58.469988382801567</v>
      </c>
      <c r="AH60" s="304">
        <f t="shared" ca="1" si="28"/>
        <v>68.138169349456263</v>
      </c>
    </row>
    <row r="61" spans="1:34" x14ac:dyDescent="0.2">
      <c r="A61" s="347">
        <f t="shared" ca="1" si="6"/>
        <v>0.01</v>
      </c>
      <c r="B61" s="304">
        <f t="shared" ca="1" si="7"/>
        <v>11.269999999999987</v>
      </c>
      <c r="D61" s="306">
        <f t="shared" ca="1" si="8"/>
        <v>11.449387881268725</v>
      </c>
      <c r="E61" s="307">
        <f t="shared" ca="1" si="9"/>
        <v>56.75474296263468</v>
      </c>
      <c r="F61" s="304">
        <f t="shared" ca="1" si="10"/>
        <v>57.898094369421813</v>
      </c>
      <c r="G61" s="306">
        <f t="shared" ca="1" si="11"/>
        <v>30.47260254940587</v>
      </c>
      <c r="H61" s="307">
        <f t="shared" ca="1" si="12"/>
        <v>177.06429305877708</v>
      </c>
      <c r="I61" s="304">
        <f t="shared" ca="1" si="13"/>
        <v>179.66731306094204</v>
      </c>
      <c r="J61" s="306">
        <f t="shared" ca="1" si="14"/>
        <v>264.98908495273338</v>
      </c>
      <c r="K61" s="307">
        <f t="shared" ca="1" si="15"/>
        <v>2052.5513622640465</v>
      </c>
      <c r="L61" s="304">
        <f t="shared" ca="1" si="0"/>
        <v>2069.586023792217</v>
      </c>
      <c r="M61" s="306">
        <f t="shared" ca="1" si="16"/>
        <v>1.4003667559048345</v>
      </c>
      <c r="N61" s="304">
        <f t="shared" ca="1" si="17"/>
        <v>80.235104883773772</v>
      </c>
      <c r="P61" s="310">
        <f t="shared" ca="1" si="18"/>
        <v>3</v>
      </c>
      <c r="Q61" s="304">
        <f t="shared" ca="1" si="19"/>
        <v>164.74137931034593</v>
      </c>
      <c r="R61" s="306">
        <f t="shared" ca="1" si="20"/>
        <v>8.7436452371961182E-2</v>
      </c>
      <c r="S61" s="307">
        <f t="shared" ca="1" si="21"/>
        <v>1.8034854152746695</v>
      </c>
      <c r="T61" s="304">
        <f t="shared" ca="1" si="1"/>
        <v>17.692191923844508</v>
      </c>
      <c r="U61" s="311">
        <f t="shared" ca="1" si="2"/>
        <v>0</v>
      </c>
      <c r="V61" s="306">
        <f t="shared" ca="1" si="3"/>
        <v>0.99696512299470141</v>
      </c>
      <c r="W61" s="304">
        <f t="shared" ca="1" si="4"/>
        <v>43.200138240197539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2052.5513622640465</v>
      </c>
      <c r="AG61" s="306">
        <f t="shared" ca="1" si="27"/>
        <v>57.8742081714203</v>
      </c>
      <c r="AH61" s="304">
        <f t="shared" ca="1" si="28"/>
        <v>67.542234850035626</v>
      </c>
    </row>
    <row r="62" spans="1:34" x14ac:dyDescent="0.2">
      <c r="A62" s="347">
        <f t="shared" ca="1" si="6"/>
        <v>0.01</v>
      </c>
      <c r="B62" s="304">
        <f t="shared" ca="1" si="7"/>
        <v>11.279999999999987</v>
      </c>
      <c r="D62" s="306">
        <f t="shared" ca="1" si="8"/>
        <v>11.354543146897619</v>
      </c>
      <c r="E62" s="307">
        <f t="shared" ca="1" si="9"/>
        <v>56.166778716263835</v>
      </c>
      <c r="F62" s="304">
        <f t="shared" ca="1" si="10"/>
        <v>57.3029901613913</v>
      </c>
      <c r="G62" s="306">
        <f t="shared" ca="1" si="11"/>
        <v>30.586147980874845</v>
      </c>
      <c r="H62" s="307">
        <f t="shared" ca="1" si="12"/>
        <v>177.62596084593972</v>
      </c>
      <c r="I62" s="304">
        <f t="shared" ca="1" si="13"/>
        <v>180.24010212699972</v>
      </c>
      <c r="J62" s="306">
        <f t="shared" ca="1" si="14"/>
        <v>265.29437870538476</v>
      </c>
      <c r="K62" s="307">
        <f t="shared" ca="1" si="15"/>
        <v>2054.3248135335703</v>
      </c>
      <c r="L62" s="304">
        <f t="shared" ca="1" si="0"/>
        <v>2071.3839689619149</v>
      </c>
      <c r="M62" s="306">
        <f t="shared" ca="1" si="16"/>
        <v>1.4002744439266925</v>
      </c>
      <c r="N62" s="304">
        <f t="shared" ca="1" si="17"/>
        <v>80.229815797027726</v>
      </c>
      <c r="P62" s="310">
        <f t="shared" ca="1" si="18"/>
        <v>3</v>
      </c>
      <c r="Q62" s="304">
        <f t="shared" ca="1" si="19"/>
        <v>163.87931034482872</v>
      </c>
      <c r="R62" s="306">
        <f t="shared" ca="1" si="20"/>
        <v>8.6978909450077579E-2</v>
      </c>
      <c r="S62" s="307">
        <f t="shared" ca="1" si="21"/>
        <v>1.8026156261801687</v>
      </c>
      <c r="T62" s="304">
        <f t="shared" ca="1" si="1"/>
        <v>17.683659292827457</v>
      </c>
      <c r="U62" s="311">
        <f t="shared" ca="1" si="2"/>
        <v>0</v>
      </c>
      <c r="V62" s="306">
        <f t="shared" ca="1" si="3"/>
        <v>0.99678644843079922</v>
      </c>
      <c r="W62" s="304">
        <f t="shared" ca="1" si="4"/>
        <v>43.468234338625798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2054.3248135335703</v>
      </c>
      <c r="AG62" s="306">
        <f t="shared" ca="1" si="27"/>
        <v>57.278829809954495</v>
      </c>
      <c r="AH62" s="304">
        <f t="shared" ca="1" si="28"/>
        <v>66.946702531563147</v>
      </c>
    </row>
    <row r="63" spans="1:34" x14ac:dyDescent="0.2">
      <c r="A63" s="347">
        <f t="shared" ca="1" si="6"/>
        <v>0.01</v>
      </c>
      <c r="B63" s="304">
        <f t="shared" ca="1" si="7"/>
        <v>11.289999999999987</v>
      </c>
      <c r="D63" s="306">
        <f t="shared" ca="1" si="8"/>
        <v>11.259645146008769</v>
      </c>
      <c r="E63" s="307">
        <f t="shared" ca="1" si="9"/>
        <v>55.579250359172676</v>
      </c>
      <c r="F63" s="304">
        <f t="shared" ca="1" si="10"/>
        <v>56.708312259329631</v>
      </c>
      <c r="G63" s="306">
        <f t="shared" ca="1" si="11"/>
        <v>30.698744432334934</v>
      </c>
      <c r="H63" s="307">
        <f t="shared" ca="1" si="12"/>
        <v>178.18175334953145</v>
      </c>
      <c r="I63" s="304">
        <f t="shared" ca="1" si="13"/>
        <v>180.80694161573297</v>
      </c>
      <c r="J63" s="306">
        <f t="shared" ca="1" si="14"/>
        <v>265.60080316745081</v>
      </c>
      <c r="K63" s="307">
        <f t="shared" ca="1" si="15"/>
        <v>2056.1038521045475</v>
      </c>
      <c r="L63" s="304">
        <f t="shared" ca="1" si="0"/>
        <v>2073.1876030119306</v>
      </c>
      <c r="M63" s="306">
        <f t="shared" ca="1" si="16"/>
        <v>1.4001823719921049</v>
      </c>
      <c r="N63" s="304">
        <f t="shared" ca="1" si="17"/>
        <v>80.224540463764257</v>
      </c>
      <c r="P63" s="310">
        <f t="shared" ca="1" si="18"/>
        <v>3</v>
      </c>
      <c r="Q63" s="304">
        <f t="shared" ca="1" si="19"/>
        <v>163.01724137931149</v>
      </c>
      <c r="R63" s="306">
        <f t="shared" ca="1" si="20"/>
        <v>8.6521366528193949E-2</v>
      </c>
      <c r="S63" s="307">
        <f t="shared" ca="1" si="21"/>
        <v>1.8017504125148867</v>
      </c>
      <c r="T63" s="304">
        <f t="shared" ca="1" si="1"/>
        <v>17.67517154677104</v>
      </c>
      <c r="U63" s="311">
        <f t="shared" ca="1" si="2"/>
        <v>0</v>
      </c>
      <c r="V63" s="306">
        <f t="shared" ca="1" si="3"/>
        <v>0.99660723981740418</v>
      </c>
      <c r="W63" s="304">
        <f t="shared" ca="1" si="4"/>
        <v>43.734207686025591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2056.1038521045475</v>
      </c>
      <c r="AG63" s="306">
        <f t="shared" ca="1" si="27"/>
        <v>56.683872236125424</v>
      </c>
      <c r="AH63" s="304">
        <f t="shared" ca="1" si="28"/>
        <v>66.351591324915503</v>
      </c>
    </row>
    <row r="64" spans="1:34" x14ac:dyDescent="0.2">
      <c r="A64" s="347">
        <f t="shared" ca="1" si="6"/>
        <v>0.01</v>
      </c>
      <c r="B64" s="304">
        <f t="shared" ca="1" si="7"/>
        <v>11.299999999999986</v>
      </c>
      <c r="D64" s="306">
        <f t="shared" ca="1" si="8"/>
        <v>11.164697893748384</v>
      </c>
      <c r="E64" s="307">
        <f t="shared" ca="1" si="9"/>
        <v>54.992176216384038</v>
      </c>
      <c r="F64" s="304">
        <f t="shared" ca="1" si="10"/>
        <v>56.114079552929525</v>
      </c>
      <c r="G64" s="306">
        <f t="shared" ca="1" si="11"/>
        <v>30.810391411272416</v>
      </c>
      <c r="H64" s="307">
        <f t="shared" ca="1" si="12"/>
        <v>178.7316751116953</v>
      </c>
      <c r="I64" s="304">
        <f t="shared" ca="1" si="13"/>
        <v>181.36783592232777</v>
      </c>
      <c r="J64" s="306">
        <f t="shared" ca="1" si="14"/>
        <v>265.90834884666884</v>
      </c>
      <c r="K64" s="307">
        <f t="shared" ca="1" si="15"/>
        <v>2057.8884192468536</v>
      </c>
      <c r="L64" s="304">
        <f t="shared" ca="1" si="0"/>
        <v>2074.9968665173151</v>
      </c>
      <c r="M64" s="306">
        <f t="shared" ca="1" si="16"/>
        <v>1.4000905357191407</v>
      </c>
      <c r="N64" s="304">
        <f t="shared" ca="1" si="17"/>
        <v>80.219278632917195</v>
      </c>
      <c r="P64" s="310">
        <f t="shared" ca="1" si="18"/>
        <v>3</v>
      </c>
      <c r="Q64" s="304">
        <f t="shared" ca="1" si="19"/>
        <v>162.15517241379428</v>
      </c>
      <c r="R64" s="306">
        <f t="shared" ca="1" si="20"/>
        <v>8.6063823606310347E-2</v>
      </c>
      <c r="S64" s="307">
        <f t="shared" ca="1" si="21"/>
        <v>1.8008897742788235</v>
      </c>
      <c r="T64" s="304">
        <f t="shared" ca="1" si="1"/>
        <v>17.66672868567526</v>
      </c>
      <c r="U64" s="311">
        <f t="shared" ca="1" si="2"/>
        <v>0</v>
      </c>
      <c r="V64" s="306">
        <f t="shared" ca="1" si="3"/>
        <v>0.99642750333456709</v>
      </c>
      <c r="W64" s="304">
        <f t="shared" ca="1" si="4"/>
        <v>43.998034261603202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2057.8884192468536</v>
      </c>
      <c r="AG64" s="306">
        <f t="shared" ca="1" si="27"/>
        <v>56.08935417755923</v>
      </c>
      <c r="AH64" s="304">
        <f t="shared" ca="1" si="28"/>
        <v>65.756919950967585</v>
      </c>
    </row>
    <row r="65" spans="1:34" x14ac:dyDescent="0.2">
      <c r="A65" s="347">
        <f t="shared" ca="1" si="6"/>
        <v>0.01</v>
      </c>
      <c r="B65" s="304">
        <f t="shared" ca="1" si="7"/>
        <v>11.309999999999986</v>
      </c>
      <c r="D65" s="306">
        <f t="shared" ca="1" si="8"/>
        <v>11.069705360995867</v>
      </c>
      <c r="E65" s="307">
        <f t="shared" ca="1" si="9"/>
        <v>54.405574406491993</v>
      </c>
      <c r="F65" s="304">
        <f t="shared" ca="1" si="10"/>
        <v>55.520310727513021</v>
      </c>
      <c r="G65" s="306">
        <f t="shared" ca="1" si="11"/>
        <v>30.921088464882374</v>
      </c>
      <c r="H65" s="307">
        <f t="shared" ca="1" si="12"/>
        <v>179.2757308557602</v>
      </c>
      <c r="I65" s="304">
        <f t="shared" ca="1" si="13"/>
        <v>181.92278962713837</v>
      </c>
      <c r="J65" s="306">
        <f t="shared" ca="1" si="14"/>
        <v>266.21700624604961</v>
      </c>
      <c r="K65" s="307">
        <f t="shared" ca="1" si="15"/>
        <v>2059.6784562766907</v>
      </c>
      <c r="L65" s="304">
        <f t="shared" ca="1" si="0"/>
        <v>2076.8117000982397</v>
      </c>
      <c r="M65" s="306">
        <f t="shared" ca="1" si="16"/>
        <v>1.3999989307894745</v>
      </c>
      <c r="N65" s="304">
        <f t="shared" ca="1" si="17"/>
        <v>80.214030057064733</v>
      </c>
      <c r="P65" s="310">
        <f t="shared" ca="1" si="18"/>
        <v>3</v>
      </c>
      <c r="Q65" s="304">
        <f t="shared" ca="1" si="19"/>
        <v>161.29310344827707</v>
      </c>
      <c r="R65" s="306">
        <f t="shared" ca="1" si="20"/>
        <v>8.5606280684426744E-2</v>
      </c>
      <c r="S65" s="307">
        <f t="shared" ca="1" si="21"/>
        <v>1.8000337114719791</v>
      </c>
      <c r="T65" s="304">
        <f t="shared" ca="1" si="1"/>
        <v>17.658330709540117</v>
      </c>
      <c r="U65" s="311">
        <f t="shared" ca="1" si="2"/>
        <v>0</v>
      </c>
      <c r="V65" s="306">
        <f t="shared" ca="1" si="3"/>
        <v>0.9962472451545602</v>
      </c>
      <c r="W65" s="304">
        <f t="shared" ca="1" si="4"/>
        <v>44.25969047560374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2059.6784562766907</v>
      </c>
      <c r="AG65" s="306">
        <f t="shared" ca="1" si="27"/>
        <v>55.495294151144179</v>
      </c>
      <c r="AH65" s="304">
        <f t="shared" ca="1" si="28"/>
        <v>65.162706919947468</v>
      </c>
    </row>
    <row r="66" spans="1:34" x14ac:dyDescent="0.2">
      <c r="A66" s="347">
        <f t="shared" ca="1" si="6"/>
        <v>0.01</v>
      </c>
      <c r="B66" s="304">
        <f t="shared" ca="1" si="7"/>
        <v>11.319999999999986</v>
      </c>
      <c r="D66" s="306">
        <f t="shared" ca="1" si="8"/>
        <v>10.974671474434082</v>
      </c>
      <c r="E66" s="307">
        <f t="shared" ca="1" si="9"/>
        <v>53.819462841049365</v>
      </c>
      <c r="F66" s="304">
        <f t="shared" ca="1" si="10"/>
        <v>54.92702426375245</v>
      </c>
      <c r="G66" s="306">
        <f t="shared" ca="1" si="11"/>
        <v>31.030835179626713</v>
      </c>
      <c r="H66" s="307">
        <f t="shared" ca="1" si="12"/>
        <v>179.81392548417068</v>
      </c>
      <c r="I66" s="304">
        <f t="shared" ca="1" si="13"/>
        <v>182.47180749357435</v>
      </c>
      <c r="J66" s="306">
        <f t="shared" ca="1" si="14"/>
        <v>266.52676586427214</v>
      </c>
      <c r="K66" s="307">
        <f t="shared" ca="1" si="15"/>
        <v>2061.4739045583901</v>
      </c>
      <c r="L66" s="304">
        <f t="shared" ca="1" si="0"/>
        <v>2078.6320444218318</v>
      </c>
      <c r="M66" s="306">
        <f t="shared" ca="1" si="16"/>
        <v>1.399907552946869</v>
      </c>
      <c r="N66" s="304">
        <f t="shared" ca="1" si="17"/>
        <v>80.20879449234242</v>
      </c>
      <c r="P66" s="310">
        <f t="shared" ca="1" si="18"/>
        <v>3</v>
      </c>
      <c r="Q66" s="304">
        <f t="shared" ca="1" si="19"/>
        <v>160.43103448275983</v>
      </c>
      <c r="R66" s="306">
        <f t="shared" ca="1" si="20"/>
        <v>8.5148737762543114E-2</v>
      </c>
      <c r="S66" s="307">
        <f t="shared" ca="1" si="21"/>
        <v>1.7991822240943536</v>
      </c>
      <c r="T66" s="304">
        <f t="shared" ca="1" si="1"/>
        <v>17.649977618365611</v>
      </c>
      <c r="U66" s="311">
        <f t="shared" ca="1" si="2"/>
        <v>0</v>
      </c>
      <c r="V66" s="306">
        <f t="shared" ca="1" si="3"/>
        <v>0.99606647144167049</v>
      </c>
      <c r="W66" s="304">
        <f t="shared" ca="1" si="4"/>
        <v>44.519153168563037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2061.4739045583901</v>
      </c>
      <c r="AG66" s="306">
        <f t="shared" ca="1" si="27"/>
        <v>54.901710462434586</v>
      </c>
      <c r="AH66" s="304">
        <f t="shared" ca="1" si="28"/>
        <v>64.568970530838101</v>
      </c>
    </row>
    <row r="67" spans="1:34" x14ac:dyDescent="0.2">
      <c r="A67" s="347">
        <f t="shared" ca="1" si="6"/>
        <v>0.01</v>
      </c>
      <c r="B67" s="304">
        <f t="shared" ca="1" si="7"/>
        <v>11.329999999999986</v>
      </c>
      <c r="D67" s="306">
        <f t="shared" ca="1" si="8"/>
        <v>10.802129141071447</v>
      </c>
      <c r="E67" s="307">
        <f t="shared" ca="1" si="9"/>
        <v>52.784939298258855</v>
      </c>
      <c r="F67" s="304">
        <f t="shared" ca="1" si="10"/>
        <v>53.878899494155007</v>
      </c>
      <c r="G67" s="306">
        <f t="shared" ca="1" si="11"/>
        <v>31.138856471037428</v>
      </c>
      <c r="H67" s="307">
        <f t="shared" ca="1" si="12"/>
        <v>180.34177487715328</v>
      </c>
      <c r="I67" s="304">
        <f t="shared" ca="1" si="13"/>
        <v>183.01033891058094</v>
      </c>
      <c r="J67" s="306">
        <f t="shared" ca="1" si="14"/>
        <v>266.83761432252544</v>
      </c>
      <c r="K67" s="307">
        <f t="shared" ca="1" si="15"/>
        <v>2063.2746830601968</v>
      </c>
      <c r="L67" s="304">
        <f t="shared" ca="1" si="0"/>
        <v>2080.4578174465573</v>
      </c>
      <c r="M67" s="306">
        <f t="shared" ca="1" si="16"/>
        <v>1.3998163957266356</v>
      </c>
      <c r="N67" s="304">
        <f t="shared" ca="1" si="17"/>
        <v>80.20357156835091</v>
      </c>
      <c r="P67" s="310">
        <f t="shared" ca="1" si="18"/>
        <v>4</v>
      </c>
      <c r="Q67" s="304">
        <f t="shared" ca="1" si="19"/>
        <v>158.75000000000355</v>
      </c>
      <c r="R67" s="306">
        <f t="shared" ca="1" si="20"/>
        <v>8.4256529064871299E-2</v>
      </c>
      <c r="S67" s="307">
        <f t="shared" ca="1" si="21"/>
        <v>1.7983396588037048</v>
      </c>
      <c r="T67" s="304">
        <f t="shared" ca="1" si="1"/>
        <v>17.641712052864346</v>
      </c>
      <c r="U67" s="311">
        <f t="shared" ca="1" si="2"/>
        <v>0</v>
      </c>
      <c r="V67" s="306">
        <f t="shared" ca="1" si="3"/>
        <v>0.99588519061140812</v>
      </c>
      <c r="W67" s="304">
        <f t="shared" ca="1" si="4"/>
        <v>44.774170616663127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2063.2746830601968</v>
      </c>
      <c r="AG67" s="306">
        <f t="shared" ca="1" si="27"/>
        <v>53.853065663172458</v>
      </c>
      <c r="AH67" s="304">
        <f t="shared" ca="1" si="28"/>
        <v>63.520173328896831</v>
      </c>
    </row>
    <row r="68" spans="1:34" x14ac:dyDescent="0.2">
      <c r="A68" s="347">
        <f t="shared" ca="1" si="6"/>
        <v>0.01</v>
      </c>
      <c r="B68" s="304">
        <f t="shared" ca="1" si="7"/>
        <v>11.339999999999986</v>
      </c>
      <c r="D68" s="306">
        <f t="shared" ca="1" si="8"/>
        <v>10.552037937247684</v>
      </c>
      <c r="E68" s="307">
        <f t="shared" ca="1" si="9"/>
        <v>51.30249627757776</v>
      </c>
      <c r="F68" s="304">
        <f t="shared" ca="1" si="10"/>
        <v>52.376441545221397</v>
      </c>
      <c r="G68" s="306">
        <f t="shared" ca="1" si="11"/>
        <v>31.244376850409907</v>
      </c>
      <c r="H68" s="307">
        <f t="shared" ca="1" si="12"/>
        <v>180.85479983992906</v>
      </c>
      <c r="I68" s="304">
        <f t="shared" ca="1" si="13"/>
        <v>183.53383805149184</v>
      </c>
      <c r="J68" s="306">
        <f t="shared" ca="1" si="14"/>
        <v>267.1495304891327</v>
      </c>
      <c r="K68" s="307">
        <f t="shared" ca="1" si="15"/>
        <v>2065.0806659337823</v>
      </c>
      <c r="L68" s="304">
        <f t="shared" ref="L68:L131" ca="1" si="29">SQRT(pos_x^2+pos_z^2)</f>
        <v>2082.2888916896418</v>
      </c>
      <c r="M68" s="306">
        <f t="shared" ca="1" si="16"/>
        <v>1.3997254505028913</v>
      </c>
      <c r="N68" s="304">
        <f t="shared" ca="1" si="17"/>
        <v>80.198360790863489</v>
      </c>
      <c r="P68" s="310">
        <f t="shared" ca="1" si="18"/>
        <v>4</v>
      </c>
      <c r="Q68" s="304">
        <f t="shared" ca="1" si="19"/>
        <v>156.25000000000361</v>
      </c>
      <c r="R68" s="306">
        <f t="shared" ca="1" si="20"/>
        <v>8.2929654591408816E-2</v>
      </c>
      <c r="S68" s="307">
        <f t="shared" ca="1" si="21"/>
        <v>1.7975103622577908</v>
      </c>
      <c r="T68" s="304">
        <f t="shared" ref="T68:T131" ca="1" si="30">m*g</f>
        <v>17.633576653748928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0.99570341558510433</v>
      </c>
      <c r="W68" s="304">
        <f t="shared" ref="W68:W131" ca="1" si="33">1/2*Rho*Sref*Cx*vit_xz^2</f>
        <v>45.022469785388687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2065.0806659337823</v>
      </c>
      <c r="AG68" s="306">
        <f t="shared" ca="1" si="27"/>
        <v>52.34983819035979</v>
      </c>
      <c r="AH68" s="304">
        <f t="shared" ca="1" si="28"/>
        <v>62.016793740938184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11.349999999999985</v>
      </c>
      <c r="D69" s="306">
        <f t="shared" ref="D69:D132" ca="1" si="37">IF(AND(L68&lt;L_rampe,Poussee&lt;Poids*SIN(M68)),0,(-W68+Poussee)/m*COS(M68)-U68/m*SIN(M68))</f>
        <v>10.301988134924258</v>
      </c>
      <c r="E69" s="307">
        <f t="shared" ref="E69:E132" ca="1" si="38">IF(AND(L68&lt;L_rampe,Poussee&lt;Poids*SIN(M68)),0,(-W68+Poussee)/m*SIN(M68)+U68/m*COS(M68)-Poids/m)</f>
        <v>49.82197829213893</v>
      </c>
      <c r="F69" s="304">
        <f t="shared" ref="F69:F132" ca="1" si="39">SQRT(acc_x^2+acc_z^2)</f>
        <v>50.875932231994369</v>
      </c>
      <c r="G69" s="306">
        <f t="shared" ref="G69:G132" ca="1" si="40">G68+acc_x*pas</f>
        <v>31.347396731759151</v>
      </c>
      <c r="H69" s="307">
        <f t="shared" ref="H69:H132" ca="1" si="41">H68+acc_z*pas</f>
        <v>181.35301962285044</v>
      </c>
      <c r="I69" s="304">
        <f t="shared" ref="I69:I132" ca="1" si="42">SQRT(vit_x^2+vit_z^2)</f>
        <v>184.04232395887712</v>
      </c>
      <c r="J69" s="306">
        <f t="shared" ref="J69:J132" ca="1" si="43">J68+0.5*(vit_x+G68)*pas*(K68&gt;=0)</f>
        <v>267.46248935704352</v>
      </c>
      <c r="K69" s="307">
        <f t="shared" ref="K69:K132" ca="1" si="44">K68+0.5*(vit_z+H68)*pas</f>
        <v>2066.8917050310961</v>
      </c>
      <c r="L69" s="304">
        <f t="shared" ca="1" si="29"/>
        <v>2084.1251170549763</v>
      </c>
      <c r="M69" s="306">
        <f t="shared" ref="M69:M132" ca="1" si="45">IF(AND(L68&gt;L_rampe,G69&gt;0),ATAN2(G69,H69),$M$4)</f>
        <v>1.3996347087801599</v>
      </c>
      <c r="N69" s="304">
        <f t="shared" ref="N69:N132" ca="1" si="46">DEGREES(Beta)</f>
        <v>80.193161673125232</v>
      </c>
      <c r="P69" s="310">
        <f t="shared" ref="P69:P132" ca="1" si="47">MATCH(t-pas/2-T_ini,CdP_t)</f>
        <v>4</v>
      </c>
      <c r="Q69" s="304">
        <f t="shared" ref="Q69:Q132" ca="1" si="48">(INDEX(CdP,2,i_P+1)-INDEX(CdP,2,i_P+0))/(INDEX(CdP,1,i_P+1)-INDEX(CdP,1,i_P+0))*(t-pas/2-T_ini-INDEX(CdP,1,i_P+0))+INDEX(CdP,2,i_P+0)</f>
        <v>153.75000000000367</v>
      </c>
      <c r="R69" s="306">
        <f t="shared" ref="R69:R132" ca="1" si="49">Poussee/(g*ISP)</f>
        <v>8.1602780117946333E-2</v>
      </c>
      <c r="S69" s="307">
        <f t="shared" ref="S69:S132" ca="1" si="50">S68-Débit*pas</f>
        <v>1.7966943344566113</v>
      </c>
      <c r="T69" s="304">
        <f t="shared" ca="1" si="30"/>
        <v>17.625571421019359</v>
      </c>
      <c r="U69" s="311">
        <f t="shared" ca="1" si="31"/>
        <v>0</v>
      </c>
      <c r="V69" s="306">
        <f t="shared" ca="1" si="32"/>
        <v>0.99552116152037606</v>
      </c>
      <c r="W69" s="304">
        <f t="shared" ca="1" si="33"/>
        <v>45.264000866467988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2066.8917050310961</v>
      </c>
      <c r="AG69" s="306">
        <f t="shared" ref="AG69:AG132" ca="1" si="56">IF(AND(L68&lt;L_rampe,Poussee&lt;Poids*SIN(M68)),0,(-W68+Poussee)/m-Poids*SIN(M68)/m)</f>
        <v>50.848514967751164</v>
      </c>
      <c r="AH69" s="304">
        <f t="shared" ref="AH69:AH132" ca="1" si="57">IF(AND(L68&lt;L_rampe,Poussee&lt;Poids*SIN(M68)), g*SIN(M68), (-W68+Poussee)/m)</f>
        <v>60.51531867689576</v>
      </c>
    </row>
    <row r="70" spans="1:34" x14ac:dyDescent="0.2">
      <c r="A70" s="347">
        <f t="shared" ca="1" si="35"/>
        <v>0.01</v>
      </c>
      <c r="B70" s="304">
        <f t="shared" ca="1" si="36"/>
        <v>11.359999999999985</v>
      </c>
      <c r="D70" s="306">
        <f t="shared" ca="1" si="37"/>
        <v>10.051992522779688</v>
      </c>
      <c r="E70" s="307">
        <f t="shared" ca="1" si="38"/>
        <v>48.3434477274633</v>
      </c>
      <c r="F70" s="304">
        <f t="shared" ca="1" si="39"/>
        <v>49.377439097790358</v>
      </c>
      <c r="G70" s="306">
        <f t="shared" ca="1" si="40"/>
        <v>31.447916656986948</v>
      </c>
      <c r="H70" s="307">
        <f t="shared" ca="1" si="41"/>
        <v>181.83645410012508</v>
      </c>
      <c r="I70" s="304">
        <f t="shared" ca="1" si="42"/>
        <v>184.53581631155424</v>
      </c>
      <c r="J70" s="306">
        <f t="shared" ca="1" si="43"/>
        <v>267.77646592398725</v>
      </c>
      <c r="K70" s="307">
        <f t="shared" ca="1" si="44"/>
        <v>2068.7076523997112</v>
      </c>
      <c r="L70" s="304">
        <f t="shared" ca="1" si="29"/>
        <v>2085.9663436402475</v>
      </c>
      <c r="M70" s="306">
        <f t="shared" ca="1" si="45"/>
        <v>1.3995441621880631</v>
      </c>
      <c r="N70" s="304">
        <f t="shared" ca="1" si="46"/>
        <v>80.187973735548795</v>
      </c>
      <c r="P70" s="310">
        <f t="shared" ca="1" si="47"/>
        <v>4</v>
      </c>
      <c r="Q70" s="304">
        <f t="shared" ca="1" si="48"/>
        <v>151.25000000000372</v>
      </c>
      <c r="R70" s="306">
        <f t="shared" ca="1" si="49"/>
        <v>8.027590564448385E-2</v>
      </c>
      <c r="S70" s="307">
        <f t="shared" ca="1" si="50"/>
        <v>1.7958915754001665</v>
      </c>
      <c r="T70" s="304">
        <f t="shared" ca="1" si="30"/>
        <v>17.617696354675633</v>
      </c>
      <c r="U70" s="311">
        <f t="shared" ca="1" si="31"/>
        <v>0</v>
      </c>
      <c r="V70" s="306">
        <f t="shared" ca="1" si="32"/>
        <v>0.99533844354596057</v>
      </c>
      <c r="W70" s="304">
        <f t="shared" ca="1" si="33"/>
        <v>45.498716349908641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2068.7076523997112</v>
      </c>
      <c r="AG70" s="306">
        <f t="shared" ca="1" si="56"/>
        <v>49.349159620156321</v>
      </c>
      <c r="AH70" s="304">
        <f t="shared" ca="1" si="57"/>
        <v>59.015811747944511</v>
      </c>
    </row>
    <row r="71" spans="1:34" x14ac:dyDescent="0.2">
      <c r="A71" s="347">
        <f t="shared" ca="1" si="35"/>
        <v>0.01</v>
      </c>
      <c r="B71" s="304">
        <f t="shared" ca="1" si="36"/>
        <v>11.369999999999985</v>
      </c>
      <c r="D71" s="306">
        <f t="shared" ca="1" si="37"/>
        <v>9.7308415153057357</v>
      </c>
      <c r="E71" s="307">
        <f t="shared" ca="1" si="38"/>
        <v>46.455149003451133</v>
      </c>
      <c r="F71" s="304">
        <f t="shared" ca="1" si="39"/>
        <v>47.463355818239869</v>
      </c>
      <c r="G71" s="306">
        <f t="shared" ca="1" si="40"/>
        <v>31.545225072140006</v>
      </c>
      <c r="H71" s="307">
        <f t="shared" ca="1" si="41"/>
        <v>182.3010055901596</v>
      </c>
      <c r="I71" s="304">
        <f t="shared" ca="1" si="42"/>
        <v>185.01015611051025</v>
      </c>
      <c r="J71" s="306">
        <f t="shared" ca="1" si="43"/>
        <v>268.09143163263286</v>
      </c>
      <c r="K71" s="307">
        <f t="shared" ca="1" si="44"/>
        <v>2070.5283396981627</v>
      </c>
      <c r="L71" s="304">
        <f t="shared" ca="1" si="29"/>
        <v>2087.8124008655723</v>
      </c>
      <c r="M71" s="306">
        <f t="shared" ca="1" si="45"/>
        <v>1.3994538004349908</v>
      </c>
      <c r="N71" s="304">
        <f t="shared" ca="1" si="46"/>
        <v>80.182796388468347</v>
      </c>
      <c r="P71" s="310">
        <f t="shared" ca="1" si="47"/>
        <v>5</v>
      </c>
      <c r="Q71" s="304">
        <f t="shared" ca="1" si="48"/>
        <v>148.00000000000603</v>
      </c>
      <c r="R71" s="306">
        <f t="shared" ca="1" si="49"/>
        <v>7.8550968828983811E-2</v>
      </c>
      <c r="S71" s="307">
        <f t="shared" ca="1" si="50"/>
        <v>1.7951060657118767</v>
      </c>
      <c r="T71" s="304">
        <f t="shared" ca="1" si="30"/>
        <v>17.609990504633512</v>
      </c>
      <c r="U71" s="311">
        <f t="shared" ca="1" si="31"/>
        <v>0</v>
      </c>
      <c r="V71" s="306">
        <f t="shared" ca="1" si="32"/>
        <v>0.99515527883235677</v>
      </c>
      <c r="W71" s="304">
        <f t="shared" ca="1" si="33"/>
        <v>45.724505288550432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2070.5283396981627</v>
      </c>
      <c r="AG71" s="306">
        <f t="shared" ca="1" si="56"/>
        <v>47.433904362923037</v>
      </c>
      <c r="AH71" s="304">
        <f t="shared" ca="1" si="57"/>
        <v>57.100405155975523</v>
      </c>
    </row>
    <row r="72" spans="1:34" x14ac:dyDescent="0.2">
      <c r="A72" s="347">
        <f t="shared" ca="1" si="35"/>
        <v>0.01</v>
      </c>
      <c r="B72" s="304">
        <f t="shared" ca="1" si="36"/>
        <v>11.379999999999985</v>
      </c>
      <c r="D72" s="306">
        <f t="shared" ca="1" si="37"/>
        <v>9.3385216195440357</v>
      </c>
      <c r="E72" s="307">
        <f t="shared" ca="1" si="38"/>
        <v>44.157656850604077</v>
      </c>
      <c r="F72" s="304">
        <f t="shared" ca="1" si="39"/>
        <v>45.134317814434645</v>
      </c>
      <c r="G72" s="306">
        <f t="shared" ca="1" si="40"/>
        <v>31.638610288335446</v>
      </c>
      <c r="H72" s="307">
        <f t="shared" ca="1" si="41"/>
        <v>182.74258215866564</v>
      </c>
      <c r="I72" s="304">
        <f t="shared" ca="1" si="42"/>
        <v>185.46118999670477</v>
      </c>
      <c r="J72" s="306">
        <f t="shared" ca="1" si="43"/>
        <v>268.40735080943523</v>
      </c>
      <c r="K72" s="307">
        <f t="shared" ca="1" si="44"/>
        <v>2072.3535576369068</v>
      </c>
      <c r="L72" s="304">
        <f t="shared" ca="1" si="29"/>
        <v>2089.6630766271587</v>
      </c>
      <c r="M72" s="306">
        <f t="shared" ca="1" si="45"/>
        <v>1.3993636113404753</v>
      </c>
      <c r="N72" s="304">
        <f t="shared" ca="1" si="46"/>
        <v>80.177628933994498</v>
      </c>
      <c r="P72" s="310">
        <f t="shared" ca="1" si="47"/>
        <v>5</v>
      </c>
      <c r="Q72" s="304">
        <f t="shared" ca="1" si="48"/>
        <v>144.00000000000614</v>
      </c>
      <c r="R72" s="306">
        <f t="shared" ca="1" si="49"/>
        <v>7.6427969671443857E-2</v>
      </c>
      <c r="S72" s="307">
        <f t="shared" ca="1" si="50"/>
        <v>1.7943417860151623</v>
      </c>
      <c r="T72" s="304">
        <f t="shared" ca="1" si="30"/>
        <v>17.602492920808743</v>
      </c>
      <c r="U72" s="311">
        <f t="shared" ca="1" si="31"/>
        <v>0</v>
      </c>
      <c r="V72" s="306">
        <f t="shared" ca="1" si="32"/>
        <v>0.99497168865783614</v>
      </c>
      <c r="W72" s="304">
        <f t="shared" ca="1" si="33"/>
        <v>45.939242795791998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2072.3535576369068</v>
      </c>
      <c r="AG72" s="306">
        <f t="shared" ca="1" si="56"/>
        <v>45.103313191712061</v>
      </c>
      <c r="AH72" s="304">
        <f t="shared" ca="1" si="57"/>
        <v>54.769662879948825</v>
      </c>
    </row>
    <row r="73" spans="1:34" x14ac:dyDescent="0.2">
      <c r="A73" s="347">
        <f t="shared" ca="1" si="35"/>
        <v>0.01</v>
      </c>
      <c r="B73" s="304">
        <f t="shared" ca="1" si="36"/>
        <v>11.389999999999985</v>
      </c>
      <c r="D73" s="306">
        <f t="shared" ca="1" si="37"/>
        <v>8.8195321701524012</v>
      </c>
      <c r="E73" s="307">
        <f t="shared" ca="1" si="38"/>
        <v>41.131051693388521</v>
      </c>
      <c r="F73" s="304">
        <f t="shared" ca="1" si="39"/>
        <v>42.065990551805051</v>
      </c>
      <c r="G73" s="306">
        <f t="shared" ca="1" si="40"/>
        <v>31.726805610036969</v>
      </c>
      <c r="H73" s="307">
        <f t="shared" ca="1" si="41"/>
        <v>183.15389267559954</v>
      </c>
      <c r="I73" s="304">
        <f t="shared" ca="1" si="42"/>
        <v>185.88151763002719</v>
      </c>
      <c r="J73" s="306">
        <f t="shared" ca="1" si="43"/>
        <v>268.7241778889271</v>
      </c>
      <c r="K73" s="307">
        <f t="shared" ca="1" si="44"/>
        <v>2074.183040011078</v>
      </c>
      <c r="L73" s="304">
        <f t="shared" ca="1" si="29"/>
        <v>2091.5181011054333</v>
      </c>
      <c r="M73" s="306">
        <f t="shared" ca="1" si="45"/>
        <v>1.3992735792870894</v>
      </c>
      <c r="N73" s="304">
        <f t="shared" ca="1" si="46"/>
        <v>80.17247047731459</v>
      </c>
      <c r="P73" s="310">
        <f t="shared" ca="1" si="47"/>
        <v>6</v>
      </c>
      <c r="Q73" s="304">
        <f t="shared" ca="1" si="48"/>
        <v>138.66666666667703</v>
      </c>
      <c r="R73" s="306">
        <f t="shared" ca="1" si="49"/>
        <v>7.3597304128059413E-2</v>
      </c>
      <c r="S73" s="307">
        <f t="shared" ca="1" si="50"/>
        <v>1.7936058129738817</v>
      </c>
      <c r="T73" s="304">
        <f t="shared" ca="1" si="30"/>
        <v>17.59527302527378</v>
      </c>
      <c r="U73" s="311">
        <f t="shared" ca="1" si="31"/>
        <v>0</v>
      </c>
      <c r="V73" s="306">
        <f t="shared" ca="1" si="32"/>
        <v>0.99478770001063699</v>
      </c>
      <c r="W73" s="304">
        <f t="shared" ca="1" si="33"/>
        <v>46.139177802959288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2074.183040011078</v>
      </c>
      <c r="AG73" s="306">
        <f t="shared" ca="1" si="56"/>
        <v>42.032687996592557</v>
      </c>
      <c r="AH73" s="304">
        <f t="shared" ca="1" si="57"/>
        <v>51.698886790034798</v>
      </c>
    </row>
    <row r="74" spans="1:34" x14ac:dyDescent="0.2">
      <c r="A74" s="347">
        <f t="shared" ca="1" si="35"/>
        <v>0.01</v>
      </c>
      <c r="B74" s="304">
        <f t="shared" ca="1" si="36"/>
        <v>11.399999999999984</v>
      </c>
      <c r="D74" s="306">
        <f t="shared" ca="1" si="37"/>
        <v>8.1738723015867656</v>
      </c>
      <c r="E74" s="307">
        <f t="shared" ca="1" si="38"/>
        <v>37.376487939248108</v>
      </c>
      <c r="F74" s="304">
        <f t="shared" ca="1" si="39"/>
        <v>38.259822778933604</v>
      </c>
      <c r="G74" s="306">
        <f t="shared" ca="1" si="40"/>
        <v>31.808544333052836</v>
      </c>
      <c r="H74" s="307">
        <f t="shared" ca="1" si="41"/>
        <v>183.527657554992</v>
      </c>
      <c r="I74" s="304">
        <f t="shared" ca="1" si="42"/>
        <v>186.26375004334633</v>
      </c>
      <c r="J74" s="306">
        <f t="shared" ca="1" si="43"/>
        <v>269.04185463864258</v>
      </c>
      <c r="K74" s="307">
        <f t="shared" ca="1" si="44"/>
        <v>2076.0164477622311</v>
      </c>
      <c r="L74" s="304">
        <f t="shared" ca="1" si="29"/>
        <v>2093.3771306018207</v>
      </c>
      <c r="M74" s="306">
        <f t="shared" ca="1" si="45"/>
        <v>1.3991836852667865</v>
      </c>
      <c r="N74" s="304">
        <f t="shared" ca="1" si="46"/>
        <v>80.167319929347769</v>
      </c>
      <c r="P74" s="310">
        <f t="shared" ca="1" si="47"/>
        <v>6</v>
      </c>
      <c r="Q74" s="304">
        <f t="shared" ca="1" si="48"/>
        <v>132.00000000001049</v>
      </c>
      <c r="R74" s="306">
        <f t="shared" ca="1" si="49"/>
        <v>7.0058972198826119E-2</v>
      </c>
      <c r="S74" s="307">
        <f t="shared" ca="1" si="50"/>
        <v>1.7929052232518934</v>
      </c>
      <c r="T74" s="304">
        <f t="shared" ca="1" si="30"/>
        <v>17.588400240101073</v>
      </c>
      <c r="U74" s="311">
        <f t="shared" ca="1" si="31"/>
        <v>0</v>
      </c>
      <c r="V74" s="306">
        <f t="shared" ca="1" si="32"/>
        <v>0.99460334718662335</v>
      </c>
      <c r="W74" s="304">
        <f t="shared" ca="1" si="33"/>
        <v>46.320541336185784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2076.0164477622311</v>
      </c>
      <c r="AG74" s="306">
        <f t="shared" ca="1" si="56"/>
        <v>38.223166072654564</v>
      </c>
      <c r="AH74" s="304">
        <f t="shared" ca="1" si="57"/>
        <v>47.889214155626462</v>
      </c>
    </row>
    <row r="75" spans="1:34" x14ac:dyDescent="0.2">
      <c r="A75" s="347">
        <f t="shared" ca="1" si="35"/>
        <v>0.01</v>
      </c>
      <c r="B75" s="304">
        <f t="shared" ca="1" si="36"/>
        <v>11.409999999999984</v>
      </c>
      <c r="D75" s="306">
        <f t="shared" ca="1" si="37"/>
        <v>7.5286427731685821</v>
      </c>
      <c r="E75" s="307">
        <f t="shared" ca="1" si="38"/>
        <v>33.62845975033143</v>
      </c>
      <c r="F75" s="304">
        <f t="shared" ca="1" si="39"/>
        <v>34.460902007719483</v>
      </c>
      <c r="G75" s="306">
        <f t="shared" ca="1" si="40"/>
        <v>31.883830760784523</v>
      </c>
      <c r="H75" s="307">
        <f t="shared" ca="1" si="41"/>
        <v>183.86394215249533</v>
      </c>
      <c r="I75" s="304">
        <f t="shared" ca="1" si="42"/>
        <v>186.60795237030629</v>
      </c>
      <c r="J75" s="306">
        <f t="shared" ca="1" si="43"/>
        <v>269.36031651411179</v>
      </c>
      <c r="K75" s="307">
        <f t="shared" ca="1" si="44"/>
        <v>2077.8534057607685</v>
      </c>
      <c r="L75" s="304">
        <f t="shared" ca="1" si="29"/>
        <v>2095.2397848323249</v>
      </c>
      <c r="M75" s="306">
        <f t="shared" ca="1" si="45"/>
        <v>1.3990939104943463</v>
      </c>
      <c r="N75" s="304">
        <f t="shared" ca="1" si="46"/>
        <v>80.162176213780199</v>
      </c>
      <c r="P75" s="310">
        <f t="shared" ca="1" si="47"/>
        <v>6</v>
      </c>
      <c r="Q75" s="304">
        <f t="shared" ca="1" si="48"/>
        <v>125.33333333334397</v>
      </c>
      <c r="R75" s="306">
        <f t="shared" ca="1" si="49"/>
        <v>6.652064026959284E-2</v>
      </c>
      <c r="S75" s="307">
        <f t="shared" ca="1" si="50"/>
        <v>1.7922400168491974</v>
      </c>
      <c r="T75" s="304">
        <f t="shared" ca="1" si="30"/>
        <v>17.581874565290626</v>
      </c>
      <c r="U75" s="311">
        <f t="shared" ca="1" si="31"/>
        <v>0</v>
      </c>
      <c r="V75" s="306">
        <f t="shared" ca="1" si="32"/>
        <v>0.99441866808547807</v>
      </c>
      <c r="W75" s="304">
        <f t="shared" ca="1" si="33"/>
        <v>46.483261058658805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2077.8534057607685</v>
      </c>
      <c r="AG75" s="306">
        <f t="shared" ca="1" si="56"/>
        <v>34.420157497563117</v>
      </c>
      <c r="AH75" s="304">
        <f t="shared" ca="1" si="57"/>
        <v>44.086055022956494</v>
      </c>
    </row>
    <row r="76" spans="1:34" x14ac:dyDescent="0.2">
      <c r="A76" s="347">
        <f t="shared" ca="1" si="35"/>
        <v>0.01</v>
      </c>
      <c r="B76" s="304">
        <f t="shared" ca="1" si="36"/>
        <v>11.419999999999984</v>
      </c>
      <c r="D76" s="306">
        <f t="shared" ca="1" si="37"/>
        <v>6.8838942673454318</v>
      </c>
      <c r="E76" s="307">
        <f t="shared" ca="1" si="38"/>
        <v>29.887235468701611</v>
      </c>
      <c r="F76" s="304">
        <f t="shared" ca="1" si="39"/>
        <v>30.66977085414247</v>
      </c>
      <c r="G76" s="306">
        <f t="shared" ca="1" si="40"/>
        <v>31.952669703457978</v>
      </c>
      <c r="H76" s="307">
        <f t="shared" ca="1" si="41"/>
        <v>184.16281450718233</v>
      </c>
      <c r="I76" s="304">
        <f t="shared" ca="1" si="42"/>
        <v>186.9141924744751</v>
      </c>
      <c r="J76" s="306">
        <f t="shared" ca="1" si="43"/>
        <v>269.679499016433</v>
      </c>
      <c r="K76" s="307">
        <f t="shared" ca="1" si="44"/>
        <v>2079.6935395440669</v>
      </c>
      <c r="L76" s="304">
        <f t="shared" ca="1" si="29"/>
        <v>2097.1056841778582</v>
      </c>
      <c r="M76" s="306">
        <f t="shared" ca="1" si="45"/>
        <v>1.3990042363839557</v>
      </c>
      <c r="N76" s="304">
        <f t="shared" ca="1" si="46"/>
        <v>80.15703826572323</v>
      </c>
      <c r="P76" s="310">
        <f t="shared" ca="1" si="47"/>
        <v>6</v>
      </c>
      <c r="Q76" s="304">
        <f t="shared" ca="1" si="48"/>
        <v>118.66666666667746</v>
      </c>
      <c r="R76" s="306">
        <f t="shared" ca="1" si="49"/>
        <v>6.2982308340359547E-2</v>
      </c>
      <c r="S76" s="307">
        <f t="shared" ca="1" si="50"/>
        <v>1.7916101937657938</v>
      </c>
      <c r="T76" s="304">
        <f t="shared" ca="1" si="30"/>
        <v>17.575696000842438</v>
      </c>
      <c r="U76" s="311">
        <f t="shared" ca="1" si="31"/>
        <v>0</v>
      </c>
      <c r="V76" s="306">
        <f t="shared" ca="1" si="32"/>
        <v>0.99423370051502191</v>
      </c>
      <c r="W76" s="304">
        <f t="shared" ca="1" si="33"/>
        <v>46.627277951807102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2079.6935395440669</v>
      </c>
      <c r="AG76" s="306">
        <f t="shared" ca="1" si="56"/>
        <v>30.623935263864318</v>
      </c>
      <c r="AH76" s="304">
        <f t="shared" ca="1" si="57"/>
        <v>40.289682353445436</v>
      </c>
    </row>
    <row r="77" spans="1:34" x14ac:dyDescent="0.2">
      <c r="A77" s="347">
        <f t="shared" ca="1" si="35"/>
        <v>0.01</v>
      </c>
      <c r="B77" s="304">
        <f t="shared" ca="1" si="36"/>
        <v>11.429999999999984</v>
      </c>
      <c r="D77" s="306">
        <f t="shared" ca="1" si="37"/>
        <v>6.2396759285275563</v>
      </c>
      <c r="E77" s="307">
        <f t="shared" ca="1" si="38"/>
        <v>26.153075739051381</v>
      </c>
      <c r="F77" s="304">
        <f t="shared" ca="1" si="39"/>
        <v>26.887114503151953</v>
      </c>
      <c r="G77" s="306">
        <f t="shared" ca="1" si="40"/>
        <v>32.015066462743256</v>
      </c>
      <c r="H77" s="307">
        <f t="shared" ca="1" si="41"/>
        <v>184.42434526457285</v>
      </c>
      <c r="I77" s="304">
        <f t="shared" ca="1" si="42"/>
        <v>187.18254087088422</v>
      </c>
      <c r="J77" s="306">
        <f t="shared" ca="1" si="43"/>
        <v>269.99933769726402</v>
      </c>
      <c r="K77" s="307">
        <f t="shared" ca="1" si="44"/>
        <v>2081.5364753429258</v>
      </c>
      <c r="L77" s="304">
        <f t="shared" ca="1" si="29"/>
        <v>2098.9744497110992</v>
      </c>
      <c r="M77" s="306">
        <f t="shared" ca="1" si="45"/>
        <v>1.3989146445264202</v>
      </c>
      <c r="N77" s="304">
        <f t="shared" ca="1" si="46"/>
        <v>80.151905030407704</v>
      </c>
      <c r="P77" s="310">
        <f t="shared" ca="1" si="47"/>
        <v>6</v>
      </c>
      <c r="Q77" s="304">
        <f t="shared" ca="1" si="48"/>
        <v>112.00000000001093</v>
      </c>
      <c r="R77" s="306">
        <f t="shared" ca="1" si="49"/>
        <v>5.9443976411126268E-2</v>
      </c>
      <c r="S77" s="307">
        <f t="shared" ca="1" si="50"/>
        <v>1.7910157540016824</v>
      </c>
      <c r="T77" s="304">
        <f t="shared" ca="1" si="30"/>
        <v>17.569864546756506</v>
      </c>
      <c r="U77" s="311">
        <f t="shared" ca="1" si="31"/>
        <v>0</v>
      </c>
      <c r="V77" s="306">
        <f t="shared" ca="1" si="32"/>
        <v>0.99404848218851294</v>
      </c>
      <c r="W77" s="304">
        <f t="shared" ca="1" si="33"/>
        <v>46.752546200523504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2081.5364753429258</v>
      </c>
      <c r="AG77" s="306">
        <f t="shared" ca="1" si="56"/>
        <v>26.834764517996796</v>
      </c>
      <c r="AH77" s="304">
        <f t="shared" ca="1" si="57"/>
        <v>36.500361262675092</v>
      </c>
    </row>
    <row r="78" spans="1:34" x14ac:dyDescent="0.2">
      <c r="A78" s="347">
        <f t="shared" ca="1" si="35"/>
        <v>0.01</v>
      </c>
      <c r="B78" s="304">
        <f t="shared" ca="1" si="36"/>
        <v>11.439999999999984</v>
      </c>
      <c r="D78" s="306">
        <f t="shared" ca="1" si="37"/>
        <v>5.5960353647228667</v>
      </c>
      <c r="E78" s="307">
        <f t="shared" ca="1" si="38"/>
        <v>22.426233506415723</v>
      </c>
      <c r="F78" s="304">
        <f t="shared" ca="1" si="39"/>
        <v>23.11388243215562</v>
      </c>
      <c r="G78" s="306">
        <f t="shared" ca="1" si="40"/>
        <v>32.071026816390486</v>
      </c>
      <c r="H78" s="307">
        <f t="shared" ca="1" si="41"/>
        <v>184.64860759963702</v>
      </c>
      <c r="I78" s="304">
        <f t="shared" ca="1" si="42"/>
        <v>187.41307064754679</v>
      </c>
      <c r="J78" s="306">
        <f t="shared" ca="1" si="43"/>
        <v>270.31976816365972</v>
      </c>
      <c r="K78" s="307">
        <f t="shared" ca="1" si="44"/>
        <v>2083.3818401072467</v>
      </c>
      <c r="L78" s="304">
        <f t="shared" ca="1" si="29"/>
        <v>2100.8457032225647</v>
      </c>
      <c r="M78" s="306">
        <f t="shared" ca="1" si="45"/>
        <v>1.3988251166669321</v>
      </c>
      <c r="N78" s="304">
        <f t="shared" ca="1" si="46"/>
        <v>80.146775461910195</v>
      </c>
      <c r="P78" s="310">
        <f t="shared" ca="1" si="47"/>
        <v>6</v>
      </c>
      <c r="Q78" s="304">
        <f t="shared" ca="1" si="48"/>
        <v>105.3333333333444</v>
      </c>
      <c r="R78" s="306">
        <f t="shared" ca="1" si="49"/>
        <v>5.5905644481892974E-2</v>
      </c>
      <c r="S78" s="307">
        <f t="shared" ca="1" si="50"/>
        <v>1.7904566975568634</v>
      </c>
      <c r="T78" s="304">
        <f t="shared" ca="1" si="30"/>
        <v>17.56438020303283</v>
      </c>
      <c r="U78" s="311">
        <f t="shared" ca="1" si="31"/>
        <v>0</v>
      </c>
      <c r="V78" s="306">
        <f t="shared" ca="1" si="32"/>
        <v>0.99386305072203729</v>
      </c>
      <c r="W78" s="304">
        <f t="shared" ca="1" si="33"/>
        <v>46.859033074096303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2083.3818401072467</v>
      </c>
      <c r="AG78" s="306">
        <f t="shared" ca="1" si="56"/>
        <v>23.052902558241811</v>
      </c>
      <c r="AH78" s="304">
        <f t="shared" ca="1" si="57"/>
        <v>32.718349018301467</v>
      </c>
    </row>
    <row r="79" spans="1:34" x14ac:dyDescent="0.2">
      <c r="A79" s="347">
        <f t="shared" ca="1" si="35"/>
        <v>0.01</v>
      </c>
      <c r="B79" s="304">
        <f t="shared" ca="1" si="36"/>
        <v>11.449999999999983</v>
      </c>
      <c r="D79" s="306">
        <f t="shared" ca="1" si="37"/>
        <v>4.9530186495398913</v>
      </c>
      <c r="E79" s="307">
        <f t="shared" ca="1" si="38"/>
        <v>18.706954018608734</v>
      </c>
      <c r="F79" s="304">
        <f t="shared" ca="1" si="39"/>
        <v>19.351550904179007</v>
      </c>
      <c r="G79" s="306">
        <f t="shared" ca="1" si="40"/>
        <v>32.120557002885882</v>
      </c>
      <c r="H79" s="307">
        <f t="shared" ca="1" si="41"/>
        <v>184.8356771398231</v>
      </c>
      <c r="I79" s="304">
        <f t="shared" ca="1" si="42"/>
        <v>187.60585738700314</v>
      </c>
      <c r="J79" s="306">
        <f t="shared" ca="1" si="43"/>
        <v>270.64072608275609</v>
      </c>
      <c r="K79" s="307">
        <f t="shared" ca="1" si="44"/>
        <v>2085.2292615309439</v>
      </c>
      <c r="L79" s="304">
        <f t="shared" ca="1" si="29"/>
        <v>2102.7190672459046</v>
      </c>
      <c r="M79" s="306">
        <f t="shared" ca="1" si="45"/>
        <v>1.3987356346833255</v>
      </c>
      <c r="N79" s="304">
        <f t="shared" ca="1" si="46"/>
        <v>80.141648521907086</v>
      </c>
      <c r="P79" s="310">
        <f t="shared" ca="1" si="47"/>
        <v>6</v>
      </c>
      <c r="Q79" s="304">
        <f t="shared" ca="1" si="48"/>
        <v>98.666666666677884</v>
      </c>
      <c r="R79" s="306">
        <f t="shared" ca="1" si="49"/>
        <v>5.2367312552659695E-2</v>
      </c>
      <c r="S79" s="307">
        <f t="shared" ca="1" si="50"/>
        <v>1.7899330244313367</v>
      </c>
      <c r="T79" s="304">
        <f t="shared" ca="1" si="30"/>
        <v>17.559242969671413</v>
      </c>
      <c r="U79" s="311">
        <f t="shared" ca="1" si="31"/>
        <v>0</v>
      </c>
      <c r="V79" s="306">
        <f t="shared" ca="1" si="32"/>
        <v>0.99367744363199451</v>
      </c>
      <c r="W79" s="304">
        <f t="shared" ca="1" si="33"/>
        <v>46.946718803082675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2085.2292615309439</v>
      </c>
      <c r="AG79" s="306">
        <f t="shared" ca="1" si="56"/>
        <v>19.278598837392821</v>
      </c>
      <c r="AH79" s="304">
        <f t="shared" ca="1" si="57"/>
        <v>28.943895042687931</v>
      </c>
    </row>
    <row r="80" spans="1:34" x14ac:dyDescent="0.2">
      <c r="A80" s="347">
        <f t="shared" ca="1" si="35"/>
        <v>0.01</v>
      </c>
      <c r="B80" s="304">
        <f t="shared" ca="1" si="36"/>
        <v>11.459999999999983</v>
      </c>
      <c r="D80" s="306">
        <f t="shared" ca="1" si="37"/>
        <v>4.310670324554108</v>
      </c>
      <c r="E80" s="307">
        <f t="shared" ca="1" si="38"/>
        <v>14.995474833263753</v>
      </c>
      <c r="F80" s="304">
        <f t="shared" ca="1" si="39"/>
        <v>15.602760785259703</v>
      </c>
      <c r="G80" s="306">
        <f t="shared" ca="1" si="40"/>
        <v>32.163663706131423</v>
      </c>
      <c r="H80" s="307">
        <f t="shared" ca="1" si="41"/>
        <v>184.98563188815575</v>
      </c>
      <c r="I80" s="304">
        <f t="shared" ca="1" si="42"/>
        <v>187.76097908793878</v>
      </c>
      <c r="J80" s="306">
        <f t="shared" ca="1" si="43"/>
        <v>270.96214718630119</v>
      </c>
      <c r="K80" s="307">
        <f t="shared" ca="1" si="44"/>
        <v>2087.0783680760837</v>
      </c>
      <c r="L80" s="304">
        <f t="shared" ca="1" si="29"/>
        <v>2104.5941650824134</v>
      </c>
      <c r="M80" s="306">
        <f t="shared" ca="1" si="45"/>
        <v>1.3986461805647523</v>
      </c>
      <c r="N80" s="304">
        <f t="shared" ca="1" si="46"/>
        <v>80.136523178452777</v>
      </c>
      <c r="P80" s="310">
        <f t="shared" ca="1" si="47"/>
        <v>6</v>
      </c>
      <c r="Q80" s="304">
        <f t="shared" ca="1" si="48"/>
        <v>92.00000000001134</v>
      </c>
      <c r="R80" s="306">
        <f t="shared" ca="1" si="49"/>
        <v>4.8828980623426402E-2</v>
      </c>
      <c r="S80" s="307">
        <f t="shared" ca="1" si="50"/>
        <v>1.7894447346251026</v>
      </c>
      <c r="T80" s="304">
        <f t="shared" ca="1" si="30"/>
        <v>17.554452846672255</v>
      </c>
      <c r="U80" s="311">
        <f t="shared" ca="1" si="31"/>
        <v>0</v>
      </c>
      <c r="V80" s="306">
        <f t="shared" ca="1" si="32"/>
        <v>0.99349169833267525</v>
      </c>
      <c r="W80" s="304">
        <f t="shared" ca="1" si="33"/>
        <v>47.015596452354451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2087.0783680760837</v>
      </c>
      <c r="AG80" s="306">
        <f t="shared" ca="1" si="56"/>
        <v>15.512094970023995</v>
      </c>
      <c r="AH80" s="304">
        <f t="shared" ca="1" si="57"/>
        <v>25.177240920138029</v>
      </c>
    </row>
    <row r="81" spans="1:34" x14ac:dyDescent="0.2">
      <c r="A81" s="347">
        <f t="shared" ca="1" si="35"/>
        <v>0.01</v>
      </c>
      <c r="B81" s="304">
        <f t="shared" ca="1" si="36"/>
        <v>11.469999999999983</v>
      </c>
      <c r="D81" s="306">
        <f t="shared" ca="1" si="37"/>
        <v>3.6690334020310709</v>
      </c>
      <c r="E81" s="307">
        <f t="shared" ca="1" si="38"/>
        <v>11.292025829354818</v>
      </c>
      <c r="F81" s="304">
        <f t="shared" ca="1" si="39"/>
        <v>11.873148421376534</v>
      </c>
      <c r="G81" s="306">
        <f t="shared" ca="1" si="40"/>
        <v>32.200354040151737</v>
      </c>
      <c r="H81" s="307">
        <f t="shared" ca="1" si="41"/>
        <v>185.09855214644929</v>
      </c>
      <c r="I81" s="304">
        <f t="shared" ca="1" si="42"/>
        <v>187.87851608691966</v>
      </c>
      <c r="J81" s="306">
        <f t="shared" ca="1" si="43"/>
        <v>271.28396727503264</v>
      </c>
      <c r="K81" s="307">
        <f t="shared" ca="1" si="44"/>
        <v>2088.9287889962566</v>
      </c>
      <c r="L81" s="304">
        <f t="shared" ca="1" si="29"/>
        <v>2106.4706208247594</v>
      </c>
      <c r="M81" s="306">
        <f t="shared" ca="1" si="45"/>
        <v>1.3985567363907154</v>
      </c>
      <c r="N81" s="304">
        <f t="shared" ca="1" si="46"/>
        <v>80.131398404778423</v>
      </c>
      <c r="P81" s="310">
        <f t="shared" ca="1" si="47"/>
        <v>6</v>
      </c>
      <c r="Q81" s="304">
        <f t="shared" ca="1" si="48"/>
        <v>85.333333333344825</v>
      </c>
      <c r="R81" s="306">
        <f t="shared" ca="1" si="49"/>
        <v>4.5290648694193122E-2</v>
      </c>
      <c r="S81" s="307">
        <f t="shared" ca="1" si="50"/>
        <v>1.7889918281381607</v>
      </c>
      <c r="T81" s="304">
        <f t="shared" ca="1" si="30"/>
        <v>17.550009834035357</v>
      </c>
      <c r="U81" s="311">
        <f t="shared" ca="1" si="31"/>
        <v>0</v>
      </c>
      <c r="V81" s="306">
        <f t="shared" ca="1" si="32"/>
        <v>0.99330585213392808</v>
      </c>
      <c r="W81" s="304">
        <f t="shared" ca="1" si="33"/>
        <v>47.065671790545615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2088.9287889962566</v>
      </c>
      <c r="AG81" s="306">
        <f t="shared" ca="1" si="56"/>
        <v>11.753624744236493</v>
      </c>
      <c r="AH81" s="304">
        <f t="shared" ca="1" si="57"/>
        <v>21.418620408606564</v>
      </c>
    </row>
    <row r="82" spans="1:34" x14ac:dyDescent="0.2">
      <c r="A82" s="347">
        <f t="shared" ca="1" si="35"/>
        <v>0.01</v>
      </c>
      <c r="B82" s="304">
        <f t="shared" ca="1" si="36"/>
        <v>11.479999999999983</v>
      </c>
      <c r="D82" s="306">
        <f t="shared" ca="1" si="37"/>
        <v>3.0281493679972988</v>
      </c>
      <c r="E82" s="307">
        <f t="shared" ca="1" si="38"/>
        <v>7.5968292230753445</v>
      </c>
      <c r="F82" s="304">
        <f t="shared" ca="1" si="39"/>
        <v>8.1781112024399611</v>
      </c>
      <c r="G82" s="306">
        <f t="shared" ca="1" si="40"/>
        <v>32.230635533831709</v>
      </c>
      <c r="H82" s="307">
        <f t="shared" ca="1" si="41"/>
        <v>185.17452043868005</v>
      </c>
      <c r="I82" s="304">
        <f t="shared" ca="1" si="42"/>
        <v>187.95855098028881</v>
      </c>
      <c r="J82" s="306">
        <f t="shared" ca="1" si="43"/>
        <v>271.60612222290257</v>
      </c>
      <c r="K82" s="307">
        <f t="shared" ca="1" si="44"/>
        <v>2090.7801543591822</v>
      </c>
      <c r="L82" s="304">
        <f t="shared" ca="1" si="29"/>
        <v>2108.3480593799422</v>
      </c>
      <c r="M82" s="306">
        <f t="shared" ca="1" si="45"/>
        <v>1.398467284310396</v>
      </c>
      <c r="N82" s="304">
        <f t="shared" ca="1" si="46"/>
        <v>80.126273178107454</v>
      </c>
      <c r="P82" s="310">
        <f t="shared" ca="1" si="47"/>
        <v>6</v>
      </c>
      <c r="Q82" s="304">
        <f t="shared" ca="1" si="48"/>
        <v>78.666666666678296</v>
      </c>
      <c r="R82" s="306">
        <f t="shared" ca="1" si="49"/>
        <v>4.1752316764959829E-2</v>
      </c>
      <c r="S82" s="307">
        <f t="shared" ca="1" si="50"/>
        <v>1.7885743049705112</v>
      </c>
      <c r="T82" s="304">
        <f t="shared" ca="1" si="30"/>
        <v>17.545913931760715</v>
      </c>
      <c r="U82" s="311">
        <f t="shared" ca="1" si="31"/>
        <v>0</v>
      </c>
      <c r="V82" s="306">
        <f t="shared" ca="1" si="32"/>
        <v>0.99311994223892608</v>
      </c>
      <c r="W82" s="304">
        <f t="shared" ca="1" si="33"/>
        <v>47.096963156130471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2090.7801543591822</v>
      </c>
      <c r="AG82" s="306">
        <f t="shared" ca="1" si="56"/>
        <v>8.0034141377580514</v>
      </c>
      <c r="AH82" s="304">
        <f t="shared" ca="1" si="57"/>
        <v>17.668259455764517</v>
      </c>
    </row>
    <row r="83" spans="1:34" x14ac:dyDescent="0.2">
      <c r="A83" s="347">
        <f t="shared" ca="1" si="35"/>
        <v>0.01</v>
      </c>
      <c r="B83" s="304">
        <f t="shared" ca="1" si="36"/>
        <v>11.489999999999982</v>
      </c>
      <c r="D83" s="306">
        <f t="shared" ca="1" si="37"/>
        <v>2.3880581856480196</v>
      </c>
      <c r="E83" s="307">
        <f t="shared" ca="1" si="38"/>
        <v>3.9100995879482952</v>
      </c>
      <c r="F83" s="304">
        <f t="shared" ca="1" si="39"/>
        <v>4.5816700760436619</v>
      </c>
      <c r="G83" s="306">
        <f t="shared" ca="1" si="40"/>
        <v>32.25451611568819</v>
      </c>
      <c r="H83" s="307">
        <f t="shared" ca="1" si="41"/>
        <v>185.21362143455954</v>
      </c>
      <c r="I83" s="304">
        <f t="shared" ca="1" si="42"/>
        <v>188.00116854626603</v>
      </c>
      <c r="J83" s="306">
        <f t="shared" ca="1" si="43"/>
        <v>271.92854798115019</v>
      </c>
      <c r="K83" s="307">
        <f t="shared" ca="1" si="44"/>
        <v>2092.6320950685486</v>
      </c>
      <c r="L83" s="304">
        <f t="shared" ca="1" si="29"/>
        <v>2110.2261064914633</v>
      </c>
      <c r="M83" s="306">
        <f t="shared" ca="1" si="45"/>
        <v>1.3983778065222152</v>
      </c>
      <c r="N83" s="304">
        <f t="shared" ca="1" si="46"/>
        <v>80.121146478484533</v>
      </c>
      <c r="P83" s="310">
        <f t="shared" ca="1" si="47"/>
        <v>6</v>
      </c>
      <c r="Q83" s="304">
        <f t="shared" ca="1" si="48"/>
        <v>72.000000000011767</v>
      </c>
      <c r="R83" s="306">
        <f t="shared" ca="1" si="49"/>
        <v>3.8213984835726543E-2</v>
      </c>
      <c r="S83" s="307">
        <f t="shared" ca="1" si="50"/>
        <v>1.788192165122154</v>
      </c>
      <c r="T83" s="304">
        <f t="shared" ca="1" si="30"/>
        <v>17.542165139848333</v>
      </c>
      <c r="U83" s="311">
        <f t="shared" ca="1" si="31"/>
        <v>0</v>
      </c>
      <c r="V83" s="306">
        <f t="shared" ca="1" si="32"/>
        <v>0.99293400574201551</v>
      </c>
      <c r="W83" s="304">
        <f t="shared" ca="1" si="33"/>
        <v>47.109501320356557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2092.6320950685486</v>
      </c>
      <c r="AG83" s="306">
        <f t="shared" ca="1" si="56"/>
        <v>4.2616813382702325</v>
      </c>
      <c r="AH83" s="304">
        <f t="shared" ca="1" si="57"/>
        <v>13.926376219291921</v>
      </c>
    </row>
    <row r="84" spans="1:34" x14ac:dyDescent="0.2">
      <c r="A84" s="347">
        <f t="shared" ca="1" si="35"/>
        <v>0.01</v>
      </c>
      <c r="B84" s="304">
        <f t="shared" ca="1" si="36"/>
        <v>11.499999999999982</v>
      </c>
      <c r="D84" s="306">
        <f t="shared" ca="1" si="37"/>
        <v>1.7487982990789432</v>
      </c>
      <c r="E84" s="307">
        <f t="shared" ca="1" si="38"/>
        <v>0.23204387904202584</v>
      </c>
      <c r="F84" s="304">
        <f t="shared" ca="1" si="39"/>
        <v>1.7641258040917251</v>
      </c>
      <c r="G84" s="306">
        <f t="shared" ca="1" si="40"/>
        <v>32.272004098678977</v>
      </c>
      <c r="H84" s="307">
        <f t="shared" ca="1" si="41"/>
        <v>185.21594187334998</v>
      </c>
      <c r="I84" s="304">
        <f t="shared" ca="1" si="42"/>
        <v>188.00645566729168</v>
      </c>
      <c r="J84" s="306">
        <f t="shared" ca="1" si="43"/>
        <v>272.25118058222205</v>
      </c>
      <c r="K84" s="307">
        <f t="shared" ca="1" si="44"/>
        <v>2094.484242885088</v>
      </c>
      <c r="L84" s="304">
        <f t="shared" ca="1" si="29"/>
        <v>2112.1043887607293</v>
      </c>
      <c r="M84" s="306">
        <f t="shared" ca="1" si="45"/>
        <v>1.3982882852535701</v>
      </c>
      <c r="N84" s="304">
        <f t="shared" ca="1" si="46"/>
        <v>80.116017287614511</v>
      </c>
      <c r="P84" s="310">
        <f t="shared" ca="1" si="47"/>
        <v>6</v>
      </c>
      <c r="Q84" s="304">
        <f t="shared" ca="1" si="48"/>
        <v>65.333333333345252</v>
      </c>
      <c r="R84" s="306">
        <f t="shared" ca="1" si="49"/>
        <v>3.4675652906493264E-2</v>
      </c>
      <c r="S84" s="307">
        <f t="shared" ca="1" si="50"/>
        <v>1.787845408593089</v>
      </c>
      <c r="T84" s="304">
        <f t="shared" ca="1" si="30"/>
        <v>17.538763458298206</v>
      </c>
      <c r="U84" s="311">
        <f t="shared" ca="1" si="31"/>
        <v>0</v>
      </c>
      <c r="V84" s="306">
        <f t="shared" ca="1" si="32"/>
        <v>0.99274807962666434</v>
      </c>
      <c r="W84" s="304">
        <f t="shared" ca="1" si="33"/>
        <v>47.103329347257201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2094.484242885088</v>
      </c>
      <c r="AG84" s="306">
        <f t="shared" ca="1" si="56"/>
        <v>0.52863676783672808</v>
      </c>
      <c r="AH84" s="304">
        <f t="shared" ca="1" si="57"/>
        <v>10.193181091272088</v>
      </c>
    </row>
    <row r="85" spans="1:34" x14ac:dyDescent="0.2">
      <c r="A85" s="347">
        <f t="shared" ca="1" si="35"/>
        <v>0.01</v>
      </c>
      <c r="B85" s="304">
        <f t="shared" ca="1" si="36"/>
        <v>11.509999999999982</v>
      </c>
      <c r="D85" s="306">
        <f t="shared" ca="1" si="37"/>
        <v>1.2624572454580154</v>
      </c>
      <c r="E85" s="307">
        <f t="shared" ca="1" si="38"/>
        <v>-2.5644875404278711</v>
      </c>
      <c r="F85" s="304">
        <f t="shared" ca="1" si="39"/>
        <v>2.8583902185704515</v>
      </c>
      <c r="G85" s="306">
        <f t="shared" ca="1" si="40"/>
        <v>32.284628671133554</v>
      </c>
      <c r="H85" s="307">
        <f t="shared" ca="1" si="41"/>
        <v>185.19029699794569</v>
      </c>
      <c r="I85" s="304">
        <f t="shared" ca="1" si="42"/>
        <v>187.98335923857812</v>
      </c>
      <c r="J85" s="306">
        <f t="shared" ca="1" si="43"/>
        <v>272.57396374607112</v>
      </c>
      <c r="K85" s="307">
        <f t="shared" ca="1" si="44"/>
        <v>2096.3362740794446</v>
      </c>
      <c r="L85" s="304">
        <f t="shared" ca="1" si="29"/>
        <v>2113.9825779162734</v>
      </c>
      <c r="M85" s="306">
        <f t="shared" ca="1" si="45"/>
        <v>1.3981987069619153</v>
      </c>
      <c r="N85" s="304">
        <f t="shared" ca="1" si="46"/>
        <v>80.1108848295667</v>
      </c>
      <c r="P85" s="310">
        <f t="shared" ca="1" si="47"/>
        <v>7</v>
      </c>
      <c r="Q85" s="304">
        <f t="shared" ca="1" si="48"/>
        <v>60.250000000006331</v>
      </c>
      <c r="R85" s="306">
        <f t="shared" ca="1" si="49"/>
        <v>3.1977674810449858E-2</v>
      </c>
      <c r="S85" s="307">
        <f t="shared" ca="1" si="50"/>
        <v>1.7875256318449846</v>
      </c>
      <c r="T85" s="304">
        <f t="shared" ca="1" si="30"/>
        <v>17.535626448399299</v>
      </c>
      <c r="U85" s="311">
        <f t="shared" ca="1" si="31"/>
        <v>0</v>
      </c>
      <c r="V85" s="306">
        <f t="shared" ca="1" si="32"/>
        <v>0.99256219638458565</v>
      </c>
      <c r="W85" s="304">
        <f t="shared" ca="1" si="33"/>
        <v>47.082939340139845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2096.3362740794446</v>
      </c>
      <c r="AG85" s="306">
        <f t="shared" ca="1" si="56"/>
        <v>-2.3097182928199711</v>
      </c>
      <c r="AH85" s="304">
        <f t="shared" ca="1" si="57"/>
        <v>7.3546753224343231</v>
      </c>
    </row>
    <row r="86" spans="1:34" x14ac:dyDescent="0.2">
      <c r="A86" s="347">
        <f t="shared" ca="1" si="35"/>
        <v>0.01</v>
      </c>
      <c r="B86" s="304">
        <f t="shared" ca="1" si="36"/>
        <v>11.519999999999982</v>
      </c>
      <c r="D86" s="306">
        <f t="shared" ca="1" si="37"/>
        <v>0.92894872001595397</v>
      </c>
      <c r="E86" s="307">
        <f t="shared" ca="1" si="38"/>
        <v>-4.4813870830599321</v>
      </c>
      <c r="F86" s="304">
        <f t="shared" ca="1" si="39"/>
        <v>4.5766555379049105</v>
      </c>
      <c r="G86" s="306">
        <f t="shared" ca="1" si="40"/>
        <v>32.29391815833371</v>
      </c>
      <c r="H86" s="307">
        <f t="shared" ca="1" si="41"/>
        <v>185.14548312711509</v>
      </c>
      <c r="I86" s="304">
        <f t="shared" ca="1" si="42"/>
        <v>187.94080736335579</v>
      </c>
      <c r="J86" s="306">
        <f t="shared" ca="1" si="43"/>
        <v>272.89685648021845</v>
      </c>
      <c r="K86" s="307">
        <f t="shared" ca="1" si="44"/>
        <v>2098.1879529800699</v>
      </c>
      <c r="L86" s="304">
        <f t="shared" ca="1" si="29"/>
        <v>2115.8604349785173</v>
      </c>
      <c r="M86" s="306">
        <f t="shared" ca="1" si="45"/>
        <v>1.3981090623256724</v>
      </c>
      <c r="N86" s="304">
        <f t="shared" ca="1" si="46"/>
        <v>80.105748570253994</v>
      </c>
      <c r="P86" s="310">
        <f t="shared" ca="1" si="47"/>
        <v>7</v>
      </c>
      <c r="Q86" s="304">
        <f t="shared" ca="1" si="48"/>
        <v>56.750000000006395</v>
      </c>
      <c r="R86" s="306">
        <f t="shared" ca="1" si="49"/>
        <v>3.0120050547602379E-2</v>
      </c>
      <c r="S86" s="307">
        <f t="shared" ca="1" si="50"/>
        <v>1.7872244313395085</v>
      </c>
      <c r="T86" s="304">
        <f t="shared" ca="1" si="30"/>
        <v>17.532671671440578</v>
      </c>
      <c r="U86" s="311">
        <f t="shared" ca="1" si="31"/>
        <v>0</v>
      </c>
      <c r="V86" s="306">
        <f t="shared" ca="1" si="32"/>
        <v>0.99237637964981018</v>
      </c>
      <c r="W86" s="304">
        <f t="shared" ca="1" si="33"/>
        <v>47.052816015804517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2098.1879529800699</v>
      </c>
      <c r="AG86" s="306">
        <f t="shared" ca="1" si="56"/>
        <v>-4.2552630383584855</v>
      </c>
      <c r="AH86" s="304">
        <f t="shared" ca="1" si="57"/>
        <v>5.4089796951920448</v>
      </c>
    </row>
    <row r="87" spans="1:34" x14ac:dyDescent="0.2">
      <c r="A87" s="347">
        <f t="shared" ca="1" si="35"/>
        <v>0.01</v>
      </c>
      <c r="B87" s="304">
        <f t="shared" ca="1" si="36"/>
        <v>11.529999999999982</v>
      </c>
      <c r="D87" s="306">
        <f t="shared" ca="1" si="37"/>
        <v>0.59591406002956071</v>
      </c>
      <c r="E87" s="307">
        <f t="shared" ca="1" si="38"/>
        <v>-6.3935425727694843</v>
      </c>
      <c r="F87" s="304">
        <f t="shared" ca="1" si="39"/>
        <v>6.4212537869762443</v>
      </c>
      <c r="G87" s="306">
        <f t="shared" ca="1" si="40"/>
        <v>32.299877298934007</v>
      </c>
      <c r="H87" s="307">
        <f t="shared" ca="1" si="41"/>
        <v>185.08154770138739</v>
      </c>
      <c r="I87" s="304">
        <f t="shared" ca="1" si="42"/>
        <v>187.87884759351471</v>
      </c>
      <c r="J87" s="306">
        <f t="shared" ca="1" si="43"/>
        <v>273.21982545750478</v>
      </c>
      <c r="K87" s="307">
        <f t="shared" ca="1" si="44"/>
        <v>2100.0390881342123</v>
      </c>
      <c r="L87" s="304">
        <f t="shared" ca="1" si="29"/>
        <v>2117.7377658044925</v>
      </c>
      <c r="M87" s="306">
        <f t="shared" ca="1" si="45"/>
        <v>1.3980193420142337</v>
      </c>
      <c r="N87" s="304">
        <f t="shared" ca="1" si="46"/>
        <v>80.100607975071966</v>
      </c>
      <c r="P87" s="310">
        <f t="shared" ca="1" si="47"/>
        <v>7</v>
      </c>
      <c r="Q87" s="304">
        <f t="shared" ca="1" si="48"/>
        <v>53.250000000006466</v>
      </c>
      <c r="R87" s="306">
        <f t="shared" ca="1" si="49"/>
        <v>2.8262426284754904E-2</v>
      </c>
      <c r="S87" s="307">
        <f t="shared" ca="1" si="50"/>
        <v>1.7869418070766609</v>
      </c>
      <c r="T87" s="304">
        <f t="shared" ca="1" si="30"/>
        <v>17.529899127422045</v>
      </c>
      <c r="U87" s="311">
        <f t="shared" ca="1" si="31"/>
        <v>0</v>
      </c>
      <c r="V87" s="306">
        <f t="shared" ca="1" si="32"/>
        <v>0.99219064860426931</v>
      </c>
      <c r="W87" s="304">
        <f t="shared" ca="1" si="33"/>
        <v>47.012996164106838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2100.0390881342123</v>
      </c>
      <c r="AG87" s="306">
        <f t="shared" ca="1" si="56"/>
        <v>-6.1960526028486083</v>
      </c>
      <c r="AH87" s="304">
        <f t="shared" ca="1" si="57"/>
        <v>3.4680390596156028</v>
      </c>
    </row>
    <row r="88" spans="1:34" x14ac:dyDescent="0.2">
      <c r="A88" s="347">
        <f t="shared" ca="1" si="35"/>
        <v>0.01</v>
      </c>
      <c r="B88" s="304">
        <f t="shared" ca="1" si="36"/>
        <v>11.539999999999981</v>
      </c>
      <c r="D88" s="306">
        <f t="shared" ca="1" si="37"/>
        <v>0.26336142274043173</v>
      </c>
      <c r="E88" s="307">
        <f t="shared" ca="1" si="38"/>
        <v>-8.3009125420347303</v>
      </c>
      <c r="F88" s="304">
        <f t="shared" ca="1" si="39"/>
        <v>8.3050892993090297</v>
      </c>
      <c r="G88" s="306">
        <f t="shared" ca="1" si="40"/>
        <v>32.302510913161413</v>
      </c>
      <c r="H88" s="307">
        <f t="shared" ca="1" si="41"/>
        <v>184.99853857596705</v>
      </c>
      <c r="I88" s="304">
        <f t="shared" ca="1" si="42"/>
        <v>187.79752790316084</v>
      </c>
      <c r="J88" s="306">
        <f t="shared" ca="1" si="43"/>
        <v>273.54283739856527</v>
      </c>
      <c r="K88" s="307">
        <f t="shared" ca="1" si="44"/>
        <v>2101.8894885655991</v>
      </c>
      <c r="L88" s="304">
        <f t="shared" ca="1" si="29"/>
        <v>2119.6143767286103</v>
      </c>
      <c r="M88" s="306">
        <f t="shared" ca="1" si="45"/>
        <v>1.3979295366824356</v>
      </c>
      <c r="N88" s="304">
        <f t="shared" ca="1" si="46"/>
        <v>80.095462508582159</v>
      </c>
      <c r="P88" s="310">
        <f t="shared" ca="1" si="47"/>
        <v>7</v>
      </c>
      <c r="Q88" s="304">
        <f t="shared" ca="1" si="48"/>
        <v>49.75000000000653</v>
      </c>
      <c r="R88" s="306">
        <f t="shared" ca="1" si="49"/>
        <v>2.6404802021907422E-2</v>
      </c>
      <c r="S88" s="307">
        <f t="shared" ca="1" si="50"/>
        <v>1.7866777590564418</v>
      </c>
      <c r="T88" s="304">
        <f t="shared" ca="1" si="30"/>
        <v>17.527308816343695</v>
      </c>
      <c r="U88" s="311">
        <f t="shared" ca="1" si="31"/>
        <v>0</v>
      </c>
      <c r="V88" s="306">
        <f t="shared" ca="1" si="32"/>
        <v>0.99200502236924726</v>
      </c>
      <c r="W88" s="304">
        <f t="shared" ca="1" si="33"/>
        <v>46.96351973637001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2101.8894885655991</v>
      </c>
      <c r="AG88" s="306">
        <f t="shared" ca="1" si="56"/>
        <v>-8.1320447647167455</v>
      </c>
      <c r="AH88" s="304">
        <f t="shared" ca="1" si="57"/>
        <v>1.5318956213710999</v>
      </c>
    </row>
    <row r="89" spans="1:34" x14ac:dyDescent="0.2">
      <c r="A89" s="347">
        <f t="shared" ca="1" si="35"/>
        <v>0.01</v>
      </c>
      <c r="B89" s="304">
        <f t="shared" ca="1" si="36"/>
        <v>11.549999999999981</v>
      </c>
      <c r="D89" s="306">
        <f t="shared" ca="1" si="37"/>
        <v>-6.8701440279698739E-2</v>
      </c>
      <c r="E89" s="307">
        <f t="shared" ca="1" si="38"/>
        <v>-10.203457526691212</v>
      </c>
      <c r="F89" s="304">
        <f t="shared" ca="1" si="39"/>
        <v>10.203688812722977</v>
      </c>
      <c r="G89" s="306">
        <f t="shared" ca="1" si="40"/>
        <v>32.301823898758613</v>
      </c>
      <c r="H89" s="307">
        <f t="shared" ca="1" si="41"/>
        <v>184.89650400070013</v>
      </c>
      <c r="I89" s="304">
        <f t="shared" ca="1" si="42"/>
        <v>187.69689666818505</v>
      </c>
      <c r="J89" s="306">
        <f t="shared" ca="1" si="43"/>
        <v>273.86585907262486</v>
      </c>
      <c r="K89" s="307">
        <f t="shared" ca="1" si="44"/>
        <v>2103.7389637784822</v>
      </c>
      <c r="L89" s="304">
        <f t="shared" ca="1" si="29"/>
        <v>2121.4900745667769</v>
      </c>
      <c r="M89" s="306">
        <f t="shared" ca="1" si="45"/>
        <v>1.3978396369650214</v>
      </c>
      <c r="N89" s="304">
        <f t="shared" ca="1" si="46"/>
        <v>80.090311634194904</v>
      </c>
      <c r="P89" s="310">
        <f t="shared" ca="1" si="47"/>
        <v>8</v>
      </c>
      <c r="Q89" s="304">
        <f t="shared" ca="1" si="48"/>
        <v>46.250000000006608</v>
      </c>
      <c r="R89" s="306">
        <f t="shared" ca="1" si="49"/>
        <v>2.454717775905995E-2</v>
      </c>
      <c r="S89" s="307">
        <f t="shared" ca="1" si="50"/>
        <v>1.7864322872788512</v>
      </c>
      <c r="T89" s="304">
        <f t="shared" ca="1" si="30"/>
        <v>17.524900738205531</v>
      </c>
      <c r="U89" s="311">
        <f t="shared" ca="1" si="31"/>
        <v>0</v>
      </c>
      <c r="V89" s="306">
        <f t="shared" ca="1" si="32"/>
        <v>0.9918195200050347</v>
      </c>
      <c r="W89" s="304">
        <f t="shared" ca="1" si="33"/>
        <v>46.904429805231629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2103.7389637784822</v>
      </c>
      <c r="AG89" s="306">
        <f t="shared" ca="1" si="56"/>
        <v>-10.063199345513866</v>
      </c>
      <c r="AH89" s="304">
        <f t="shared" ca="1" si="57"/>
        <v>-0.39941045705698552</v>
      </c>
    </row>
    <row r="90" spans="1:34" x14ac:dyDescent="0.2">
      <c r="A90" s="347">
        <f t="shared" ca="1" si="35"/>
        <v>0.01</v>
      </c>
      <c r="B90" s="304">
        <f t="shared" ca="1" si="36"/>
        <v>11.559999999999981</v>
      </c>
      <c r="D90" s="306">
        <f t="shared" ca="1" si="37"/>
        <v>-0.40026718081341167</v>
      </c>
      <c r="E90" s="307">
        <f t="shared" ca="1" si="38"/>
        <v>-12.101140049260813</v>
      </c>
      <c r="F90" s="304">
        <f t="shared" ca="1" si="39"/>
        <v>12.107758021527367</v>
      </c>
      <c r="G90" s="306">
        <f t="shared" ca="1" si="40"/>
        <v>32.297821226950482</v>
      </c>
      <c r="H90" s="307">
        <f t="shared" ca="1" si="41"/>
        <v>184.77549260020751</v>
      </c>
      <c r="I90" s="304">
        <f t="shared" ca="1" si="42"/>
        <v>187.57700264599973</v>
      </c>
      <c r="J90" s="306">
        <f t="shared" ca="1" si="43"/>
        <v>274.18885729825342</v>
      </c>
      <c r="K90" s="307">
        <f t="shared" ca="1" si="44"/>
        <v>2105.5873237614869</v>
      </c>
      <c r="L90" s="304">
        <f t="shared" ca="1" si="29"/>
        <v>2123.3646666203108</v>
      </c>
      <c r="M90" s="306">
        <f t="shared" ca="1" si="45"/>
        <v>1.3977496334710826</v>
      </c>
      <c r="N90" s="304">
        <f t="shared" ca="1" si="46"/>
        <v>80.085154813850778</v>
      </c>
      <c r="P90" s="310">
        <f t="shared" ca="1" si="47"/>
        <v>8</v>
      </c>
      <c r="Q90" s="304">
        <f t="shared" ca="1" si="48"/>
        <v>42.750000000006686</v>
      </c>
      <c r="R90" s="306">
        <f t="shared" ca="1" si="49"/>
        <v>2.2689553496212475E-2</v>
      </c>
      <c r="S90" s="307">
        <f t="shared" ca="1" si="50"/>
        <v>1.7862053917438891</v>
      </c>
      <c r="T90" s="304">
        <f t="shared" ca="1" si="30"/>
        <v>17.522674893007554</v>
      </c>
      <c r="U90" s="311">
        <f t="shared" ca="1" si="31"/>
        <v>0</v>
      </c>
      <c r="V90" s="306">
        <f t="shared" ca="1" si="32"/>
        <v>0.99163416051060893</v>
      </c>
      <c r="W90" s="304">
        <f t="shared" ca="1" si="33"/>
        <v>46.835772524417429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2105.5873237614869</v>
      </c>
      <c r="AG90" s="306">
        <f t="shared" ca="1" si="56"/>
        <v>-11.989478193113444</v>
      </c>
      <c r="AH90" s="304">
        <f t="shared" ca="1" si="57"/>
        <v>-2.3258410395732452</v>
      </c>
    </row>
    <row r="91" spans="1:34" x14ac:dyDescent="0.2">
      <c r="A91" s="347">
        <f t="shared" ca="1" si="35"/>
        <v>0.01</v>
      </c>
      <c r="B91" s="304">
        <f t="shared" ca="1" si="36"/>
        <v>11.569999999999981</v>
      </c>
      <c r="D91" s="306">
        <f t="shared" ca="1" si="37"/>
        <v>-0.73132885166641681</v>
      </c>
      <c r="E91" s="307">
        <f t="shared" ca="1" si="38"/>
        <v>-13.993924601906198</v>
      </c>
      <c r="F91" s="304">
        <f t="shared" ca="1" si="39"/>
        <v>14.013021360617248</v>
      </c>
      <c r="G91" s="306">
        <f t="shared" ca="1" si="40"/>
        <v>32.290507938433819</v>
      </c>
      <c r="H91" s="307">
        <f t="shared" ca="1" si="41"/>
        <v>184.63555335418846</v>
      </c>
      <c r="I91" s="304">
        <f t="shared" ca="1" si="42"/>
        <v>187.43789495544766</v>
      </c>
      <c r="J91" s="306">
        <f t="shared" ca="1" si="43"/>
        <v>274.51179894408034</v>
      </c>
      <c r="K91" s="307">
        <f t="shared" ca="1" si="44"/>
        <v>2107.4343789912591</v>
      </c>
      <c r="L91" s="304">
        <f t="shared" ca="1" si="29"/>
        <v>2125.237960679648</v>
      </c>
      <c r="M91" s="306">
        <f t="shared" ca="1" si="45"/>
        <v>1.3976595167784709</v>
      </c>
      <c r="N91" s="304">
        <f t="shared" ca="1" si="46"/>
        <v>80.079991507700456</v>
      </c>
      <c r="P91" s="310">
        <f t="shared" ca="1" si="47"/>
        <v>8</v>
      </c>
      <c r="Q91" s="304">
        <f t="shared" ca="1" si="48"/>
        <v>39.250000000006764</v>
      </c>
      <c r="R91" s="306">
        <f t="shared" ca="1" si="49"/>
        <v>2.0831929233365003E-2</v>
      </c>
      <c r="S91" s="307">
        <f t="shared" ca="1" si="50"/>
        <v>1.7859970724515555</v>
      </c>
      <c r="T91" s="304">
        <f t="shared" ca="1" si="30"/>
        <v>17.520631280749761</v>
      </c>
      <c r="U91" s="311">
        <f t="shared" ca="1" si="31"/>
        <v>0</v>
      </c>
      <c r="V91" s="306">
        <f t="shared" ca="1" si="32"/>
        <v>0.99144896282332984</v>
      </c>
      <c r="W91" s="304">
        <f t="shared" ca="1" si="33"/>
        <v>46.757597088468884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2107.4343789912591</v>
      </c>
      <c r="AG91" s="306">
        <f t="shared" ca="1" si="56"/>
        <v>-13.910845164537873</v>
      </c>
      <c r="AH91" s="304">
        <f t="shared" ca="1" si="57"/>
        <v>-4.2473599993072924</v>
      </c>
    </row>
    <row r="92" spans="1:34" x14ac:dyDescent="0.2">
      <c r="A92" s="347">
        <f t="shared" ca="1" si="35"/>
        <v>0.01</v>
      </c>
      <c r="B92" s="304">
        <f t="shared" ca="1" si="36"/>
        <v>11.579999999999981</v>
      </c>
      <c r="D92" s="306">
        <f t="shared" ca="1" si="37"/>
        <v>-1.0618799043240468</v>
      </c>
      <c r="E92" s="307">
        <f t="shared" ca="1" si="38"/>
        <v>-15.881777629028917</v>
      </c>
      <c r="F92" s="304">
        <f t="shared" ca="1" si="39"/>
        <v>15.917237498672018</v>
      </c>
      <c r="G92" s="306">
        <f t="shared" ca="1" si="40"/>
        <v>32.279889139390576</v>
      </c>
      <c r="H92" s="307">
        <f t="shared" ca="1" si="41"/>
        <v>184.47673557789818</v>
      </c>
      <c r="I92" s="304">
        <f t="shared" ca="1" si="42"/>
        <v>187.27962305688547</v>
      </c>
      <c r="J92" s="306">
        <f t="shared" ca="1" si="43"/>
        <v>274.83465092946949</v>
      </c>
      <c r="K92" s="307">
        <f t="shared" ca="1" si="44"/>
        <v>2109.2799404359193</v>
      </c>
      <c r="L92" s="304">
        <f t="shared" ca="1" si="29"/>
        <v>2127.1097650278602</v>
      </c>
      <c r="M92" s="306">
        <f t="shared" ca="1" si="45"/>
        <v>1.3975692774281756</v>
      </c>
      <c r="N92" s="304">
        <f t="shared" ca="1" si="46"/>
        <v>80.074821173782524</v>
      </c>
      <c r="P92" s="310">
        <f t="shared" ca="1" si="47"/>
        <v>8</v>
      </c>
      <c r="Q92" s="304">
        <f t="shared" ca="1" si="48"/>
        <v>35.750000000006835</v>
      </c>
      <c r="R92" s="306">
        <f t="shared" ca="1" si="49"/>
        <v>1.8974304970517525E-2</v>
      </c>
      <c r="S92" s="307">
        <f t="shared" ca="1" si="50"/>
        <v>1.7858073294018504</v>
      </c>
      <c r="T92" s="304">
        <f t="shared" ca="1" si="30"/>
        <v>17.518769901432155</v>
      </c>
      <c r="U92" s="311">
        <f t="shared" ca="1" si="31"/>
        <v>0</v>
      </c>
      <c r="V92" s="306">
        <f t="shared" ca="1" si="32"/>
        <v>0.99126394581866673</v>
      </c>
      <c r="W92" s="304">
        <f t="shared" ca="1" si="33"/>
        <v>46.669955692452085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2109.2799404359193</v>
      </c>
      <c r="AG92" s="306">
        <f t="shared" ca="1" si="56"/>
        <v>-15.827266108431843</v>
      </c>
      <c r="AH92" s="304">
        <f t="shared" ca="1" si="57"/>
        <v>-6.1639332010967856</v>
      </c>
    </row>
    <row r="93" spans="1:34" x14ac:dyDescent="0.2">
      <c r="A93" s="347">
        <f t="shared" ca="1" si="35"/>
        <v>0.01</v>
      </c>
      <c r="B93" s="304">
        <f t="shared" ca="1" si="36"/>
        <v>11.58999999999998</v>
      </c>
      <c r="D93" s="306">
        <f t="shared" ca="1" si="37"/>
        <v>-1.3436527138807532</v>
      </c>
      <c r="E93" s="307">
        <f t="shared" ca="1" si="38"/>
        <v>-17.488857425338253</v>
      </c>
      <c r="F93" s="304">
        <f t="shared" ca="1" si="39"/>
        <v>17.540397277693799</v>
      </c>
      <c r="G93" s="306">
        <f t="shared" ca="1" si="40"/>
        <v>32.266452612251769</v>
      </c>
      <c r="H93" s="307">
        <f t="shared" ca="1" si="41"/>
        <v>184.30184700364481</v>
      </c>
      <c r="I93" s="304">
        <f t="shared" ca="1" si="42"/>
        <v>187.10503673908298</v>
      </c>
      <c r="J93" s="306">
        <f t="shared" ca="1" si="43"/>
        <v>275.15738263822772</v>
      </c>
      <c r="K93" s="307">
        <f t="shared" ca="1" si="44"/>
        <v>2111.1238333488272</v>
      </c>
      <c r="L93" s="304">
        <f t="shared" ca="1" si="29"/>
        <v>2128.9799024306844</v>
      </c>
      <c r="M93" s="306">
        <f t="shared" ca="1" si="45"/>
        <v>1.3974789072710545</v>
      </c>
      <c r="N93" s="304">
        <f t="shared" ca="1" si="46"/>
        <v>80.069643345185554</v>
      </c>
      <c r="P93" s="310">
        <f t="shared" ca="1" si="47"/>
        <v>9</v>
      </c>
      <c r="Q93" s="304">
        <f t="shared" ca="1" si="48"/>
        <v>32.750000000004938</v>
      </c>
      <c r="R93" s="306">
        <f t="shared" ca="1" si="49"/>
        <v>1.7382055602361508E-2</v>
      </c>
      <c r="S93" s="307">
        <f t="shared" ca="1" si="50"/>
        <v>1.7856335088458268</v>
      </c>
      <c r="T93" s="304">
        <f t="shared" ca="1" si="30"/>
        <v>17.517064721777562</v>
      </c>
      <c r="U93" s="311">
        <f t="shared" ca="1" si="31"/>
        <v>0</v>
      </c>
      <c r="V93" s="306">
        <f t="shared" ca="1" si="32"/>
        <v>0.99107912692779354</v>
      </c>
      <c r="W93" s="304">
        <f t="shared" ca="1" si="33"/>
        <v>46.574297374938688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2111.1238333488272</v>
      </c>
      <c r="AG93" s="306">
        <f t="shared" ca="1" si="56"/>
        <v>-17.458708182397672</v>
      </c>
      <c r="AH93" s="304">
        <f t="shared" ca="1" si="57"/>
        <v>-7.7955278188325083</v>
      </c>
    </row>
    <row r="94" spans="1:34" x14ac:dyDescent="0.2">
      <c r="A94" s="347">
        <f t="shared" ca="1" si="35"/>
        <v>0.01</v>
      </c>
      <c r="B94" s="304">
        <f t="shared" ca="1" si="36"/>
        <v>11.59999999999998</v>
      </c>
      <c r="D94" s="306">
        <f t="shared" ca="1" si="37"/>
        <v>-1.5766923621907434</v>
      </c>
      <c r="E94" s="307">
        <f t="shared" ca="1" si="38"/>
        <v>-18.815864945871244</v>
      </c>
      <c r="F94" s="304">
        <f t="shared" ca="1" si="39"/>
        <v>18.881809565458944</v>
      </c>
      <c r="G94" s="306">
        <f t="shared" ca="1" si="40"/>
        <v>32.250685688629858</v>
      </c>
      <c r="H94" s="307">
        <f t="shared" ca="1" si="41"/>
        <v>184.11368835418611</v>
      </c>
      <c r="I94" s="304">
        <f t="shared" ca="1" si="42"/>
        <v>186.91697880815741</v>
      </c>
      <c r="J94" s="306">
        <f t="shared" ca="1" si="43"/>
        <v>275.47996832973212</v>
      </c>
      <c r="K94" s="307">
        <f t="shared" ca="1" si="44"/>
        <v>2112.9659110256166</v>
      </c>
      <c r="L94" s="304">
        <f t="shared" ca="1" si="29"/>
        <v>2130.848224089943</v>
      </c>
      <c r="M94" s="306">
        <f t="shared" ca="1" si="45"/>
        <v>1.3973883994732159</v>
      </c>
      <c r="N94" s="304">
        <f t="shared" ca="1" si="46"/>
        <v>80.064457630356387</v>
      </c>
      <c r="P94" s="310">
        <f t="shared" ca="1" si="47"/>
        <v>9</v>
      </c>
      <c r="Q94" s="304">
        <f t="shared" ca="1" si="48"/>
        <v>30.250000000004995</v>
      </c>
      <c r="R94" s="306">
        <f t="shared" ca="1" si="49"/>
        <v>1.6055181128899029E-2</v>
      </c>
      <c r="S94" s="307">
        <f t="shared" ca="1" si="50"/>
        <v>1.7854729570345378</v>
      </c>
      <c r="T94" s="304">
        <f t="shared" ca="1" si="30"/>
        <v>17.515489708508817</v>
      </c>
      <c r="U94" s="311">
        <f t="shared" ca="1" si="31"/>
        <v>0</v>
      </c>
      <c r="V94" s="306">
        <f t="shared" ca="1" si="32"/>
        <v>0.99089452076025653</v>
      </c>
      <c r="W94" s="304">
        <f t="shared" ca="1" si="33"/>
        <v>46.472063576554113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2112.9659110256166</v>
      </c>
      <c r="AG94" s="306">
        <f t="shared" ca="1" si="56"/>
        <v>-18.805869650589386</v>
      </c>
      <c r="AH94" s="304">
        <f t="shared" ca="1" si="57"/>
        <v>-9.1428421307743832</v>
      </c>
    </row>
    <row r="95" spans="1:34" x14ac:dyDescent="0.2">
      <c r="A95" s="347">
        <f t="shared" ca="1" si="35"/>
        <v>0.01</v>
      </c>
      <c r="B95" s="304">
        <f t="shared" ca="1" si="36"/>
        <v>11.60999999999998</v>
      </c>
      <c r="D95" s="306">
        <f t="shared" ca="1" si="37"/>
        <v>-1.8093661666365661</v>
      </c>
      <c r="E95" s="307">
        <f t="shared" ca="1" si="38"/>
        <v>-20.139364210702027</v>
      </c>
      <c r="F95" s="304">
        <f t="shared" ca="1" si="39"/>
        <v>20.22047963665241</v>
      </c>
      <c r="G95" s="306">
        <f t="shared" ca="1" si="40"/>
        <v>32.232592026963495</v>
      </c>
      <c r="H95" s="307">
        <f t="shared" ca="1" si="41"/>
        <v>183.9122947120791</v>
      </c>
      <c r="I95" s="304">
        <f t="shared" ca="1" si="42"/>
        <v>186.7154844543947</v>
      </c>
      <c r="J95" s="306">
        <f t="shared" ca="1" si="43"/>
        <v>275.80238471831007</v>
      </c>
      <c r="K95" s="307">
        <f t="shared" ca="1" si="44"/>
        <v>2114.8060409409482</v>
      </c>
      <c r="L95" s="304">
        <f t="shared" ca="1" si="29"/>
        <v>2132.7145955839082</v>
      </c>
      <c r="M95" s="306">
        <f t="shared" ca="1" si="45"/>
        <v>1.3972977471638788</v>
      </c>
      <c r="N95" s="304">
        <f t="shared" ca="1" si="46"/>
        <v>80.059263635628255</v>
      </c>
      <c r="P95" s="310">
        <f t="shared" ca="1" si="47"/>
        <v>9</v>
      </c>
      <c r="Q95" s="304">
        <f t="shared" ca="1" si="48"/>
        <v>27.750000000005052</v>
      </c>
      <c r="R95" s="306">
        <f t="shared" ca="1" si="49"/>
        <v>1.4728306655436547E-2</v>
      </c>
      <c r="S95" s="307">
        <f t="shared" ca="1" si="50"/>
        <v>1.7853256739679835</v>
      </c>
      <c r="T95" s="304">
        <f t="shared" ca="1" si="30"/>
        <v>17.514044861625919</v>
      </c>
      <c r="U95" s="311">
        <f t="shared" ca="1" si="31"/>
        <v>0</v>
      </c>
      <c r="V95" s="306">
        <f t="shared" ca="1" si="32"/>
        <v>0.99071014049531914</v>
      </c>
      <c r="W95" s="304">
        <f t="shared" ca="1" si="33"/>
        <v>46.363296243896137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2114.8060409409482</v>
      </c>
      <c r="AG95" s="306">
        <f t="shared" ca="1" si="56"/>
        <v>-20.149512096180487</v>
      </c>
      <c r="AH95" s="304">
        <f t="shared" ca="1" si="57"/>
        <v>-10.486637732004523</v>
      </c>
    </row>
    <row r="96" spans="1:34" x14ac:dyDescent="0.2">
      <c r="A96" s="347">
        <f t="shared" ca="1" si="35"/>
        <v>0.01</v>
      </c>
      <c r="B96" s="304">
        <f t="shared" ca="1" si="36"/>
        <v>11.61999999999998</v>
      </c>
      <c r="D96" s="306">
        <f t="shared" ca="1" si="37"/>
        <v>-2.041672540225822</v>
      </c>
      <c r="E96" s="307">
        <f t="shared" ca="1" si="38"/>
        <v>-21.459348014254125</v>
      </c>
      <c r="F96" s="304">
        <f t="shared" ca="1" si="39"/>
        <v>21.556253012951593</v>
      </c>
      <c r="G96" s="306">
        <f t="shared" ca="1" si="40"/>
        <v>32.212175301561238</v>
      </c>
      <c r="H96" s="307">
        <f t="shared" ca="1" si="41"/>
        <v>183.69770123193655</v>
      </c>
      <c r="I96" s="304">
        <f t="shared" ca="1" si="42"/>
        <v>186.50058894158039</v>
      </c>
      <c r="J96" s="306">
        <f t="shared" ca="1" si="43"/>
        <v>276.12460855495272</v>
      </c>
      <c r="K96" s="307">
        <f t="shared" ca="1" si="44"/>
        <v>2116.6440909206681</v>
      </c>
      <c r="L96" s="304">
        <f t="shared" ca="1" si="29"/>
        <v>2134.5788828429386</v>
      </c>
      <c r="M96" s="306">
        <f t="shared" ca="1" si="45"/>
        <v>1.3972069434323722</v>
      </c>
      <c r="N96" s="304">
        <f t="shared" ca="1" si="46"/>
        <v>80.054060965048876</v>
      </c>
      <c r="P96" s="310">
        <f t="shared" ca="1" si="47"/>
        <v>9</v>
      </c>
      <c r="Q96" s="304">
        <f t="shared" ca="1" si="48"/>
        <v>25.250000000005109</v>
      </c>
      <c r="R96" s="306">
        <f t="shared" ca="1" si="49"/>
        <v>1.3401432181974066E-2</v>
      </c>
      <c r="S96" s="307">
        <f t="shared" ca="1" si="50"/>
        <v>1.7851916596461637</v>
      </c>
      <c r="T96" s="304">
        <f t="shared" ca="1" si="30"/>
        <v>17.512730181128866</v>
      </c>
      <c r="U96" s="311">
        <f t="shared" ca="1" si="31"/>
        <v>0</v>
      </c>
      <c r="V96" s="306">
        <f t="shared" ca="1" si="32"/>
        <v>0.99052599926837437</v>
      </c>
      <c r="W96" s="304">
        <f t="shared" ca="1" si="33"/>
        <v>46.248038683127859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2116.6440909206681</v>
      </c>
      <c r="AG96" s="306">
        <f t="shared" ca="1" si="56"/>
        <v>-21.489628169260747</v>
      </c>
      <c r="AH96" s="304">
        <f t="shared" ca="1" si="57"/>
        <v>-11.826907284608208</v>
      </c>
    </row>
    <row r="97" spans="1:34" x14ac:dyDescent="0.2">
      <c r="A97" s="347">
        <f t="shared" ca="1" si="35"/>
        <v>0.01</v>
      </c>
      <c r="B97" s="304">
        <f t="shared" ca="1" si="36"/>
        <v>11.629999999999979</v>
      </c>
      <c r="D97" s="306">
        <f t="shared" ca="1" si="37"/>
        <v>-2.2615162458975</v>
      </c>
      <c r="E97" s="307">
        <f t="shared" ca="1" si="38"/>
        <v>-22.706842010229423</v>
      </c>
      <c r="F97" s="304">
        <f t="shared" ca="1" si="39"/>
        <v>22.819183372942557</v>
      </c>
      <c r="G97" s="306">
        <f t="shared" ca="1" si="40"/>
        <v>32.189560139102262</v>
      </c>
      <c r="H97" s="307">
        <f t="shared" ca="1" si="41"/>
        <v>183.47063281183426</v>
      </c>
      <c r="I97" s="304">
        <f t="shared" ca="1" si="42"/>
        <v>186.27302780146081</v>
      </c>
      <c r="J97" s="306">
        <f t="shared" ca="1" si="43"/>
        <v>276.44661723215603</v>
      </c>
      <c r="K97" s="307">
        <f t="shared" ca="1" si="44"/>
        <v>2118.4799325908871</v>
      </c>
      <c r="L97" s="304">
        <f t="shared" ca="1" si="29"/>
        <v>2136.4409556478249</v>
      </c>
      <c r="M97" s="306">
        <f t="shared" ca="1" si="45"/>
        <v>1.3971159816670247</v>
      </c>
      <c r="N97" s="304">
        <f t="shared" ca="1" si="46"/>
        <v>80.048849239797406</v>
      </c>
      <c r="P97" s="310">
        <f t="shared" ca="1" si="47"/>
        <v>10</v>
      </c>
      <c r="Q97" s="304">
        <f t="shared" ca="1" si="48"/>
        <v>22.875000000004643</v>
      </c>
      <c r="R97" s="306">
        <f t="shared" ca="1" si="49"/>
        <v>1.2140901432184435E-2</v>
      </c>
      <c r="S97" s="307">
        <f t="shared" ca="1" si="50"/>
        <v>1.7850702506318419</v>
      </c>
      <c r="T97" s="304">
        <f t="shared" ca="1" si="30"/>
        <v>17.511539158698369</v>
      </c>
      <c r="U97" s="311">
        <f t="shared" ca="1" si="31"/>
        <v>0</v>
      </c>
      <c r="V97" s="306">
        <f t="shared" ca="1" si="32"/>
        <v>0.99034210982555082</v>
      </c>
      <c r="W97" s="304">
        <f t="shared" ca="1" si="33"/>
        <v>46.126682305898449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2118.4799325908871</v>
      </c>
      <c r="AG97" s="306">
        <f t="shared" ca="1" si="56"/>
        <v>-22.756191073506457</v>
      </c>
      <c r="AH97" s="304">
        <f t="shared" ca="1" si="57"/>
        <v>-13.093624004349474</v>
      </c>
    </row>
    <row r="98" spans="1:34" x14ac:dyDescent="0.2">
      <c r="A98" s="347">
        <f t="shared" ca="1" si="35"/>
        <v>0.01</v>
      </c>
      <c r="B98" s="304">
        <f t="shared" ca="1" si="36"/>
        <v>11.639999999999979</v>
      </c>
      <c r="D98" s="306">
        <f t="shared" ca="1" si="37"/>
        <v>-2.4689097827289417</v>
      </c>
      <c r="E98" s="307">
        <f t="shared" ca="1" si="38"/>
        <v>-23.882029510038535</v>
      </c>
      <c r="F98" s="304">
        <f t="shared" ca="1" si="39"/>
        <v>24.009307550064957</v>
      </c>
      <c r="G98" s="306">
        <f t="shared" ca="1" si="40"/>
        <v>32.164871041274971</v>
      </c>
      <c r="H98" s="307">
        <f t="shared" ca="1" si="41"/>
        <v>183.23181251673387</v>
      </c>
      <c r="I98" s="304">
        <f t="shared" ca="1" si="42"/>
        <v>186.0335347384158</v>
      </c>
      <c r="J98" s="306">
        <f t="shared" ca="1" si="43"/>
        <v>276.76838938805793</v>
      </c>
      <c r="K98" s="307">
        <f t="shared" ca="1" si="44"/>
        <v>2120.3134448175301</v>
      </c>
      <c r="L98" s="304">
        <f t="shared" ca="1" si="29"/>
        <v>2138.3006911186371</v>
      </c>
      <c r="M98" s="306">
        <f t="shared" ca="1" si="45"/>
        <v>1.3970248555555906</v>
      </c>
      <c r="N98" s="304">
        <f t="shared" ca="1" si="46"/>
        <v>80.043628098208799</v>
      </c>
      <c r="P98" s="310">
        <f t="shared" ca="1" si="47"/>
        <v>10</v>
      </c>
      <c r="Q98" s="304">
        <f t="shared" ca="1" si="48"/>
        <v>20.625000000004686</v>
      </c>
      <c r="R98" s="306">
        <f t="shared" ca="1" si="49"/>
        <v>1.0946714406068198E-2</v>
      </c>
      <c r="S98" s="307">
        <f t="shared" ca="1" si="50"/>
        <v>1.7849607834877812</v>
      </c>
      <c r="T98" s="304">
        <f t="shared" ca="1" si="30"/>
        <v>17.510465286015133</v>
      </c>
      <c r="U98" s="311">
        <f t="shared" ca="1" si="31"/>
        <v>0</v>
      </c>
      <c r="V98" s="306">
        <f t="shared" ca="1" si="32"/>
        <v>0.99015848417961705</v>
      </c>
      <c r="W98" s="304">
        <f t="shared" ca="1" si="33"/>
        <v>45.999616833781545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2120.3134448175301</v>
      </c>
      <c r="AG98" s="306">
        <f t="shared" ca="1" si="56"/>
        <v>-23.94938354532859</v>
      </c>
      <c r="AH98" s="304">
        <f t="shared" ca="1" si="57"/>
        <v>-14.286970639245045</v>
      </c>
    </row>
    <row r="99" spans="1:34" x14ac:dyDescent="0.2">
      <c r="A99" s="347">
        <f t="shared" ca="1" si="35"/>
        <v>0.01</v>
      </c>
      <c r="B99" s="304">
        <f t="shared" ca="1" si="36"/>
        <v>11.649999999999979</v>
      </c>
      <c r="D99" s="306">
        <f t="shared" ca="1" si="37"/>
        <v>-2.6759740021535681</v>
      </c>
      <c r="E99" s="307">
        <f t="shared" ca="1" si="38"/>
        <v>-25.05407065189404</v>
      </c>
      <c r="F99" s="304">
        <f t="shared" ca="1" si="39"/>
        <v>25.196573042584582</v>
      </c>
      <c r="G99" s="306">
        <f t="shared" ca="1" si="40"/>
        <v>32.138111301253439</v>
      </c>
      <c r="H99" s="307">
        <f t="shared" ca="1" si="41"/>
        <v>182.98127181021493</v>
      </c>
      <c r="I99" s="304">
        <f t="shared" ca="1" si="42"/>
        <v>185.78214131421649</v>
      </c>
      <c r="J99" s="306">
        <f t="shared" ca="1" si="43"/>
        <v>277.08990429977058</v>
      </c>
      <c r="K99" s="307">
        <f t="shared" ca="1" si="44"/>
        <v>2122.1445102391649</v>
      </c>
      <c r="L99" s="304">
        <f t="shared" ca="1" si="29"/>
        <v>2140.1579701982473</v>
      </c>
      <c r="M99" s="306">
        <f t="shared" ca="1" si="45"/>
        <v>1.3969335587419793</v>
      </c>
      <c r="N99" s="304">
        <f t="shared" ca="1" si="46"/>
        <v>80.038397176105875</v>
      </c>
      <c r="P99" s="310">
        <f t="shared" ca="1" si="47"/>
        <v>10</v>
      </c>
      <c r="Q99" s="304">
        <f t="shared" ca="1" si="48"/>
        <v>18.375000000004732</v>
      </c>
      <c r="R99" s="306">
        <f t="shared" ca="1" si="49"/>
        <v>9.7525273799519627E-3</v>
      </c>
      <c r="S99" s="307">
        <f t="shared" ca="1" si="50"/>
        <v>1.7848632582139816</v>
      </c>
      <c r="T99" s="304">
        <f t="shared" ca="1" si="30"/>
        <v>17.509508563079162</v>
      </c>
      <c r="U99" s="311">
        <f t="shared" ca="1" si="31"/>
        <v>0</v>
      </c>
      <c r="V99" s="306">
        <f t="shared" ca="1" si="32"/>
        <v>0.9899751339577636</v>
      </c>
      <c r="W99" s="304">
        <f t="shared" ca="1" si="33"/>
        <v>45.866884286257161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2122.1445102391649</v>
      </c>
      <c r="AG99" s="306">
        <f t="shared" ca="1" si="56"/>
        <v>-25.139419845642358</v>
      </c>
      <c r="AH99" s="304">
        <f t="shared" ca="1" si="57"/>
        <v>-15.477161461331949</v>
      </c>
    </row>
    <row r="100" spans="1:34" x14ac:dyDescent="0.2">
      <c r="A100" s="347">
        <f t="shared" ca="1" si="35"/>
        <v>0.01</v>
      </c>
      <c r="B100" s="304">
        <f t="shared" ca="1" si="36"/>
        <v>11.659999999999979</v>
      </c>
      <c r="D100" s="306">
        <f t="shared" ca="1" si="37"/>
        <v>-2.8827085819056166</v>
      </c>
      <c r="E100" s="307">
        <f t="shared" ca="1" si="38"/>
        <v>-26.222964583725805</v>
      </c>
      <c r="F100" s="304">
        <f t="shared" ca="1" si="39"/>
        <v>26.380937821228613</v>
      </c>
      <c r="G100" s="306">
        <f t="shared" ca="1" si="40"/>
        <v>32.109284215434386</v>
      </c>
      <c r="H100" s="307">
        <f t="shared" ca="1" si="41"/>
        <v>182.71904216437767</v>
      </c>
      <c r="I100" s="304">
        <f t="shared" ca="1" si="42"/>
        <v>185.51887909939293</v>
      </c>
      <c r="J100" s="306">
        <f t="shared" ca="1" si="43"/>
        <v>277.41114127735403</v>
      </c>
      <c r="K100" s="307">
        <f t="shared" ca="1" si="44"/>
        <v>2123.9730118090379</v>
      </c>
      <c r="L100" s="304">
        <f t="shared" ca="1" si="29"/>
        <v>2142.012674145034</v>
      </c>
      <c r="M100" s="306">
        <f t="shared" ca="1" si="45"/>
        <v>1.3968420848236713</v>
      </c>
      <c r="N100" s="304">
        <f t="shared" ca="1" si="46"/>
        <v>80.033156106651305</v>
      </c>
      <c r="P100" s="310">
        <f t="shared" ca="1" si="47"/>
        <v>10</v>
      </c>
      <c r="Q100" s="304">
        <f t="shared" ca="1" si="48"/>
        <v>16.125000000004775</v>
      </c>
      <c r="R100" s="306">
        <f t="shared" ca="1" si="49"/>
        <v>8.5583403538357257E-3</v>
      </c>
      <c r="S100" s="307">
        <f t="shared" ca="1" si="50"/>
        <v>1.7847776748104434</v>
      </c>
      <c r="T100" s="304">
        <f t="shared" ca="1" si="30"/>
        <v>17.508668989890449</v>
      </c>
      <c r="U100" s="311">
        <f t="shared" ca="1" si="31"/>
        <v>0</v>
      </c>
      <c r="V100" s="306">
        <f t="shared" ca="1" si="32"/>
        <v>0.98979207074811748</v>
      </c>
      <c r="W100" s="304">
        <f t="shared" ca="1" si="33"/>
        <v>45.728527688249955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2123.9730118090379</v>
      </c>
      <c r="AG100" s="306">
        <f t="shared" ca="1" si="56"/>
        <v>-26.32629909861236</v>
      </c>
      <c r="AH100" s="304">
        <f t="shared" ca="1" si="57"/>
        <v>-16.664195605994003</v>
      </c>
    </row>
    <row r="101" spans="1:34" x14ac:dyDescent="0.2">
      <c r="A101" s="347">
        <f t="shared" ca="1" si="35"/>
        <v>0.01</v>
      </c>
      <c r="B101" s="304">
        <f t="shared" ca="1" si="36"/>
        <v>11.669999999999979</v>
      </c>
      <c r="D101" s="306">
        <f t="shared" ca="1" si="37"/>
        <v>-3.0406285230704531</v>
      </c>
      <c r="E101" s="307">
        <f t="shared" ca="1" si="38"/>
        <v>-27.11280649003259</v>
      </c>
      <c r="F101" s="304">
        <f t="shared" ca="1" si="39"/>
        <v>27.282772908582128</v>
      </c>
      <c r="G101" s="306">
        <f t="shared" ca="1" si="40"/>
        <v>32.078877930203682</v>
      </c>
      <c r="H101" s="307">
        <f t="shared" ca="1" si="41"/>
        <v>182.44791409947734</v>
      </c>
      <c r="I101" s="304">
        <f t="shared" ca="1" si="42"/>
        <v>185.24658099007166</v>
      </c>
      <c r="J101" s="306">
        <f t="shared" ca="1" si="43"/>
        <v>277.73208208808222</v>
      </c>
      <c r="K101" s="307">
        <f t="shared" ca="1" si="44"/>
        <v>2125.7988465903572</v>
      </c>
      <c r="L101" s="304">
        <f t="shared" ca="1" si="29"/>
        <v>2143.8646985259761</v>
      </c>
      <c r="M101" s="306">
        <f t="shared" ca="1" si="45"/>
        <v>1.3967504287351524</v>
      </c>
      <c r="N101" s="304">
        <f t="shared" ca="1" si="46"/>
        <v>80.027904599612498</v>
      </c>
      <c r="P101" s="310">
        <f t="shared" ca="1" si="47"/>
        <v>11</v>
      </c>
      <c r="Q101" s="304">
        <f t="shared" ca="1" si="48"/>
        <v>14.375000000002679</v>
      </c>
      <c r="R101" s="306">
        <f t="shared" ca="1" si="49"/>
        <v>7.6295282224108562E-3</v>
      </c>
      <c r="S101" s="307">
        <f t="shared" ca="1" si="50"/>
        <v>1.7847013795282192</v>
      </c>
      <c r="T101" s="304">
        <f t="shared" ca="1" si="30"/>
        <v>17.507920533171831</v>
      </c>
      <c r="U101" s="311">
        <f t="shared" ca="1" si="31"/>
        <v>0</v>
      </c>
      <c r="V101" s="306">
        <f t="shared" ca="1" si="32"/>
        <v>0.98960930471900344</v>
      </c>
      <c r="W101" s="304">
        <f t="shared" ca="1" si="33"/>
        <v>45.58596969554727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2125.7988465903572</v>
      </c>
      <c r="AG101" s="306">
        <f t="shared" ca="1" si="56"/>
        <v>-27.229888743459068</v>
      </c>
      <c r="AH101" s="304">
        <f t="shared" ca="1" si="57"/>
        <v>-17.567940523772943</v>
      </c>
    </row>
    <row r="102" spans="1:34" x14ac:dyDescent="0.2">
      <c r="A102" s="347">
        <f t="shared" ca="1" si="35"/>
        <v>0.01</v>
      </c>
      <c r="B102" s="304">
        <f t="shared" ca="1" si="36"/>
        <v>11.679999999999978</v>
      </c>
      <c r="D102" s="306">
        <f t="shared" ca="1" si="37"/>
        <v>-3.1497918103071099</v>
      </c>
      <c r="E102" s="307">
        <f t="shared" ca="1" si="38"/>
        <v>-27.724371783467802</v>
      </c>
      <c r="F102" s="304">
        <f t="shared" ca="1" si="39"/>
        <v>27.902723509296067</v>
      </c>
      <c r="G102" s="306">
        <f t="shared" ca="1" si="40"/>
        <v>32.047380012100611</v>
      </c>
      <c r="H102" s="307">
        <f t="shared" ca="1" si="41"/>
        <v>182.17067038164268</v>
      </c>
      <c r="I102" s="304">
        <f t="shared" ca="1" si="42"/>
        <v>184.96807214472744</v>
      </c>
      <c r="J102" s="306">
        <f t="shared" ca="1" si="43"/>
        <v>278.05271337779374</v>
      </c>
      <c r="K102" s="307">
        <f t="shared" ca="1" si="44"/>
        <v>2127.6219395127628</v>
      </c>
      <c r="L102" s="304">
        <f t="shared" ca="1" si="29"/>
        <v>2145.7139671710215</v>
      </c>
      <c r="M102" s="306">
        <f t="shared" ca="1" si="45"/>
        <v>1.396658586761991</v>
      </c>
      <c r="N102" s="304">
        <f t="shared" ca="1" si="46"/>
        <v>80.022642442168191</v>
      </c>
      <c r="P102" s="310">
        <f t="shared" ca="1" si="47"/>
        <v>11</v>
      </c>
      <c r="Q102" s="304">
        <f t="shared" ca="1" si="48"/>
        <v>13.125000000002707</v>
      </c>
      <c r="R102" s="306">
        <f t="shared" ca="1" si="49"/>
        <v>6.9660909856796164E-3</v>
      </c>
      <c r="S102" s="307">
        <f t="shared" ca="1" si="50"/>
        <v>1.7846317186183625</v>
      </c>
      <c r="T102" s="304">
        <f t="shared" ca="1" si="30"/>
        <v>17.507237159646138</v>
      </c>
      <c r="U102" s="311">
        <f t="shared" ca="1" si="31"/>
        <v>0</v>
      </c>
      <c r="V102" s="306">
        <f t="shared" ca="1" si="32"/>
        <v>0.9894268432434612</v>
      </c>
      <c r="W102" s="304">
        <f t="shared" ca="1" si="33"/>
        <v>45.440620583162527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2127.6219395127628</v>
      </c>
      <c r="AG102" s="306">
        <f t="shared" ca="1" si="56"/>
        <v>-27.850962544226487</v>
      </c>
      <c r="AH102" s="304">
        <f t="shared" ca="1" si="57"/>
        <v>-18.189169987786276</v>
      </c>
    </row>
    <row r="103" spans="1:34" x14ac:dyDescent="0.2">
      <c r="A103" s="347">
        <f t="shared" ca="1" si="35"/>
        <v>0.01</v>
      </c>
      <c r="B103" s="304">
        <f t="shared" ca="1" si="36"/>
        <v>11.689999999999978</v>
      </c>
      <c r="D103" s="306">
        <f t="shared" ca="1" si="37"/>
        <v>-3.2587959778731008</v>
      </c>
      <c r="E103" s="307">
        <f t="shared" ca="1" si="38"/>
        <v>-28.334355117391425</v>
      </c>
      <c r="F103" s="304">
        <f t="shared" ca="1" si="39"/>
        <v>28.521140074405295</v>
      </c>
      <c r="G103" s="306">
        <f t="shared" ca="1" si="40"/>
        <v>32.01479205232188</v>
      </c>
      <c r="H103" s="307">
        <f t="shared" ca="1" si="41"/>
        <v>181.88732683046877</v>
      </c>
      <c r="I103" s="304">
        <f t="shared" ca="1" si="42"/>
        <v>184.68336842197562</v>
      </c>
      <c r="J103" s="306">
        <f t="shared" ca="1" si="43"/>
        <v>278.37302423811587</v>
      </c>
      <c r="K103" s="307">
        <f t="shared" ca="1" si="44"/>
        <v>2129.4422294988235</v>
      </c>
      <c r="L103" s="304">
        <f t="shared" ca="1" si="29"/>
        <v>2147.5604181015246</v>
      </c>
      <c r="M103" s="306">
        <f t="shared" ca="1" si="45"/>
        <v>1.396566555160162</v>
      </c>
      <c r="N103" s="304">
        <f t="shared" ca="1" si="46"/>
        <v>80.017369419801568</v>
      </c>
      <c r="P103" s="310">
        <f t="shared" ca="1" si="47"/>
        <v>11</v>
      </c>
      <c r="Q103" s="304">
        <f t="shared" ca="1" si="48"/>
        <v>11.875000000002734</v>
      </c>
      <c r="R103" s="306">
        <f t="shared" ca="1" si="49"/>
        <v>6.3026537489483756E-3</v>
      </c>
      <c r="S103" s="307">
        <f t="shared" ca="1" si="50"/>
        <v>1.784568692080873</v>
      </c>
      <c r="T103" s="304">
        <f t="shared" ca="1" si="30"/>
        <v>17.506618869313364</v>
      </c>
      <c r="U103" s="311">
        <f t="shared" ca="1" si="31"/>
        <v>0</v>
      </c>
      <c r="V103" s="306">
        <f t="shared" ca="1" si="32"/>
        <v>0.98924469228973089</v>
      </c>
      <c r="W103" s="304">
        <f t="shared" ca="1" si="33"/>
        <v>45.292503637383369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2129.4422294988235</v>
      </c>
      <c r="AG103" s="306">
        <f t="shared" ca="1" si="56"/>
        <v>-28.470450486887668</v>
      </c>
      <c r="AH103" s="304">
        <f t="shared" ca="1" si="57"/>
        <v>-18.808813990803031</v>
      </c>
    </row>
    <row r="104" spans="1:34" x14ac:dyDescent="0.2">
      <c r="A104" s="347">
        <f t="shared" ca="1" si="35"/>
        <v>0.01</v>
      </c>
      <c r="B104" s="304">
        <f t="shared" ca="1" si="36"/>
        <v>11.699999999999978</v>
      </c>
      <c r="D104" s="306">
        <f t="shared" ca="1" si="37"/>
        <v>-3.3676420395082012</v>
      </c>
      <c r="E104" s="307">
        <f t="shared" ca="1" si="38"/>
        <v>-28.942762358318383</v>
      </c>
      <c r="F104" s="304">
        <f t="shared" ca="1" si="39"/>
        <v>29.138025084695673</v>
      </c>
      <c r="G104" s="306">
        <f t="shared" ca="1" si="40"/>
        <v>31.981115631926798</v>
      </c>
      <c r="H104" s="307">
        <f t="shared" ca="1" si="41"/>
        <v>181.59789920688559</v>
      </c>
      <c r="I104" s="304">
        <f t="shared" ca="1" si="42"/>
        <v>184.39248562079976</v>
      </c>
      <c r="J104" s="306">
        <f t="shared" ca="1" si="43"/>
        <v>278.69300377653713</v>
      </c>
      <c r="K104" s="307">
        <f t="shared" ca="1" si="44"/>
        <v>2131.2596556290105</v>
      </c>
      <c r="L104" s="304">
        <f t="shared" ca="1" si="29"/>
        <v>2149.4039894970601</v>
      </c>
      <c r="M104" s="306">
        <f t="shared" ca="1" si="45"/>
        <v>1.3964743301551314</v>
      </c>
      <c r="N104" s="304">
        <f t="shared" ca="1" si="46"/>
        <v>80.012085316247735</v>
      </c>
      <c r="P104" s="310">
        <f t="shared" ca="1" si="47"/>
        <v>11</v>
      </c>
      <c r="Q104" s="304">
        <f t="shared" ca="1" si="48"/>
        <v>10.62500000000276</v>
      </c>
      <c r="R104" s="306">
        <f t="shared" ca="1" si="49"/>
        <v>5.639216512217134E-3</v>
      </c>
      <c r="S104" s="307">
        <f t="shared" ca="1" si="50"/>
        <v>1.7845122999157508</v>
      </c>
      <c r="T104" s="304">
        <f t="shared" ca="1" si="30"/>
        <v>17.506065662173516</v>
      </c>
      <c r="U104" s="311">
        <f t="shared" ca="1" si="31"/>
        <v>0</v>
      </c>
      <c r="V104" s="306">
        <f t="shared" ca="1" si="32"/>
        <v>0.98906285780651515</v>
      </c>
      <c r="W104" s="304">
        <f t="shared" ca="1" si="33"/>
        <v>45.141642348117763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 t="e">
        <f t="shared" ca="1" si="54"/>
        <v>#N/A</v>
      </c>
      <c r="AD104" s="323" t="e">
        <f t="shared" ca="1" si="55"/>
        <v>#N/A</v>
      </c>
      <c r="AE104" s="324">
        <f t="shared" ca="1" si="34"/>
        <v>2131.2596556290105</v>
      </c>
      <c r="AG104" s="306">
        <f t="shared" ca="1" si="56"/>
        <v>-29.088358534651476</v>
      </c>
      <c r="AH104" s="304">
        <f t="shared" ca="1" si="57"/>
        <v>-19.426878502892528</v>
      </c>
    </row>
    <row r="105" spans="1:34" x14ac:dyDescent="0.2">
      <c r="A105" s="347">
        <f t="shared" ca="1" si="35"/>
        <v>0.01</v>
      </c>
      <c r="B105" s="304">
        <f t="shared" ca="1" si="36"/>
        <v>11.709999999999978</v>
      </c>
      <c r="D105" s="306">
        <f t="shared" ca="1" si="37"/>
        <v>-3.476331045099621</v>
      </c>
      <c r="E105" s="307">
        <f t="shared" ca="1" si="38"/>
        <v>-29.549599518771828</v>
      </c>
      <c r="F105" s="304">
        <f t="shared" ca="1" si="39"/>
        <v>29.753381475975527</v>
      </c>
      <c r="G105" s="306">
        <f t="shared" ca="1" si="40"/>
        <v>31.946352321475803</v>
      </c>
      <c r="H105" s="307">
        <f t="shared" ca="1" si="41"/>
        <v>181.30240321169788</v>
      </c>
      <c r="I105" s="304">
        <f t="shared" ca="1" si="42"/>
        <v>184.09543947905101</v>
      </c>
      <c r="J105" s="306">
        <f t="shared" ca="1" si="43"/>
        <v>279.01264111630417</v>
      </c>
      <c r="K105" s="307">
        <f t="shared" ca="1" si="44"/>
        <v>2133.0741571411036</v>
      </c>
      <c r="L105" s="304">
        <f t="shared" ca="1" si="29"/>
        <v>2151.2446196948231</v>
      </c>
      <c r="M105" s="306">
        <f t="shared" ca="1" si="45"/>
        <v>1.3963819079409237</v>
      </c>
      <c r="N105" s="304">
        <f t="shared" ca="1" si="46"/>
        <v>80.006789913440386</v>
      </c>
      <c r="P105" s="310">
        <f t="shared" ca="1" si="47"/>
        <v>12</v>
      </c>
      <c r="Q105" s="304">
        <f t="shared" ca="1" si="48"/>
        <v>9.3750000000027889</v>
      </c>
      <c r="R105" s="306">
        <f t="shared" ca="1" si="49"/>
        <v>4.9757792754858941E-3</v>
      </c>
      <c r="S105" s="307">
        <f t="shared" ca="1" si="50"/>
        <v>1.7844625421229958</v>
      </c>
      <c r="T105" s="304">
        <f t="shared" ca="1" si="30"/>
        <v>17.505577538226589</v>
      </c>
      <c r="U105" s="311">
        <f t="shared" ca="1" si="31"/>
        <v>0</v>
      </c>
      <c r="V105" s="306">
        <f t="shared" ca="1" si="32"/>
        <v>0.98888134572306774</v>
      </c>
      <c r="W105" s="304">
        <f t="shared" ca="1" si="33"/>
        <v>44.98806040549713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2133.0741571411036</v>
      </c>
      <c r="AG105" s="306">
        <f t="shared" ca="1" si="56"/>
        <v>-29.704692800800871</v>
      </c>
      <c r="AH105" s="304">
        <f t="shared" ca="1" si="57"/>
        <v>-20.04336964426442</v>
      </c>
    </row>
    <row r="106" spans="1:34" x14ac:dyDescent="0.2">
      <c r="A106" s="347">
        <f t="shared" ca="1" si="35"/>
        <v>0.01</v>
      </c>
      <c r="B106" s="304">
        <f t="shared" ca="1" si="36"/>
        <v>11.719999999999978</v>
      </c>
      <c r="D106" s="306">
        <f t="shared" ca="1" si="37"/>
        <v>-3.5848640804482574</v>
      </c>
      <c r="E106" s="307">
        <f t="shared" ca="1" si="38"/>
        <v>-30.154872755179639</v>
      </c>
      <c r="F106" s="304">
        <f t="shared" ca="1" si="39"/>
        <v>30.367212604326454</v>
      </c>
      <c r="G106" s="306">
        <f t="shared" ca="1" si="40"/>
        <v>31.910503680671322</v>
      </c>
      <c r="H106" s="307">
        <f t="shared" ca="1" si="41"/>
        <v>181.00085448414609</v>
      </c>
      <c r="I106" s="304">
        <f t="shared" ca="1" si="42"/>
        <v>183.79224567196835</v>
      </c>
      <c r="J106" s="306">
        <f t="shared" ca="1" si="43"/>
        <v>279.33192539631489</v>
      </c>
      <c r="K106" s="307">
        <f t="shared" ca="1" si="44"/>
        <v>2134.8856734295828</v>
      </c>
      <c r="L106" s="304">
        <f t="shared" ca="1" si="29"/>
        <v>2153.0822471890142</v>
      </c>
      <c r="M106" s="306">
        <f t="shared" ca="1" si="45"/>
        <v>1.3962892846791739</v>
      </c>
      <c r="N106" s="304">
        <f t="shared" ca="1" si="46"/>
        <v>80.00148299145738</v>
      </c>
      <c r="P106" s="310">
        <f t="shared" ca="1" si="47"/>
        <v>12</v>
      </c>
      <c r="Q106" s="304">
        <f t="shared" ca="1" si="48"/>
        <v>8.1250000000028173</v>
      </c>
      <c r="R106" s="306">
        <f t="shared" ca="1" si="49"/>
        <v>4.3123420387546543E-3</v>
      </c>
      <c r="S106" s="307">
        <f t="shared" ca="1" si="50"/>
        <v>1.7844194187026083</v>
      </c>
      <c r="T106" s="304">
        <f t="shared" ca="1" si="30"/>
        <v>17.505154497472589</v>
      </c>
      <c r="U106" s="311">
        <f t="shared" ca="1" si="31"/>
        <v>0</v>
      </c>
      <c r="V106" s="306">
        <f t="shared" ca="1" si="32"/>
        <v>0.988700161949286</v>
      </c>
      <c r="W106" s="304">
        <f t="shared" ca="1" si="33"/>
        <v>44.831781696526143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2134.8856734295828</v>
      </c>
      <c r="AG106" s="306">
        <f t="shared" ca="1" si="56"/>
        <v>-30.319459546583644</v>
      </c>
      <c r="AH106" s="304">
        <f t="shared" ca="1" si="57"/>
        <v>-20.658293683161219</v>
      </c>
    </row>
    <row r="107" spans="1:34" x14ac:dyDescent="0.2">
      <c r="A107" s="347">
        <f t="shared" ca="1" si="35"/>
        <v>0.01</v>
      </c>
      <c r="B107" s="304">
        <f t="shared" ca="1" si="36"/>
        <v>11.729999999999977</v>
      </c>
      <c r="D107" s="306">
        <f t="shared" ca="1" si="37"/>
        <v>-3.6932422670407177</v>
      </c>
      <c r="E107" s="307">
        <f t="shared" ca="1" si="38"/>
        <v>-30.758588365787638</v>
      </c>
      <c r="F107" s="304">
        <f t="shared" ca="1" si="39"/>
        <v>30.979522215473605</v>
      </c>
      <c r="G107" s="306">
        <f t="shared" ca="1" si="40"/>
        <v>31.873571258000915</v>
      </c>
      <c r="H107" s="307">
        <f t="shared" ca="1" si="41"/>
        <v>180.69326860048821</v>
      </c>
      <c r="I107" s="304">
        <f t="shared" ca="1" si="42"/>
        <v>183.48291981071984</v>
      </c>
      <c r="J107" s="306">
        <f t="shared" ca="1" si="43"/>
        <v>279.65084577100822</v>
      </c>
      <c r="K107" s="307">
        <f t="shared" ca="1" si="44"/>
        <v>2136.6941440450059</v>
      </c>
      <c r="L107" s="304">
        <f t="shared" ca="1" si="29"/>
        <v>2154.9168106302063</v>
      </c>
      <c r="M107" s="306">
        <f t="shared" ca="1" si="45"/>
        <v>1.3961964564981637</v>
      </c>
      <c r="N107" s="304">
        <f t="shared" ca="1" si="46"/>
        <v>79.996164328465625</v>
      </c>
      <c r="P107" s="310">
        <f t="shared" ca="1" si="47"/>
        <v>12</v>
      </c>
      <c r="Q107" s="304">
        <f t="shared" ca="1" si="48"/>
        <v>6.8750000000028448</v>
      </c>
      <c r="R107" s="306">
        <f t="shared" ca="1" si="49"/>
        <v>3.6489048020234135E-3</v>
      </c>
      <c r="S107" s="307">
        <f t="shared" ca="1" si="50"/>
        <v>1.7843829296545881</v>
      </c>
      <c r="T107" s="304">
        <f t="shared" ca="1" si="30"/>
        <v>17.50479653991151</v>
      </c>
      <c r="U107" s="311">
        <f t="shared" ca="1" si="31"/>
        <v>0</v>
      </c>
      <c r="V107" s="306">
        <f t="shared" ca="1" si="32"/>
        <v>0.98851931237580448</v>
      </c>
      <c r="W107" s="304">
        <f t="shared" ca="1" si="33"/>
        <v>44.672830301779769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2136.6941440450059</v>
      </c>
      <c r="AG107" s="306">
        <f t="shared" ca="1" si="56"/>
        <v>-30.93266517912069</v>
      </c>
      <c r="AH107" s="304">
        <f t="shared" ca="1" si="57"/>
        <v>-21.27165703376841</v>
      </c>
    </row>
    <row r="108" spans="1:34" x14ac:dyDescent="0.2">
      <c r="A108" s="347">
        <f t="shared" ca="1" si="35"/>
        <v>0.01</v>
      </c>
      <c r="B108" s="304">
        <f t="shared" ca="1" si="36"/>
        <v>11.739999999999977</v>
      </c>
      <c r="D108" s="306">
        <f t="shared" ca="1" si="37"/>
        <v>-3.8014667618272648</v>
      </c>
      <c r="E108" s="307">
        <f t="shared" ca="1" si="38"/>
        <v>-31.360752788589899</v>
      </c>
      <c r="F108" s="304">
        <f t="shared" ca="1" si="39"/>
        <v>31.590314417687054</v>
      </c>
      <c r="G108" s="306">
        <f t="shared" ca="1" si="40"/>
        <v>31.835556590382641</v>
      </c>
      <c r="H108" s="307">
        <f t="shared" ca="1" si="41"/>
        <v>180.37966107260232</v>
      </c>
      <c r="I108" s="304">
        <f t="shared" ca="1" si="42"/>
        <v>183.16747744096477</v>
      </c>
      <c r="J108" s="306">
        <f t="shared" ca="1" si="43"/>
        <v>279.96939141025013</v>
      </c>
      <c r="K108" s="307">
        <f t="shared" ca="1" si="44"/>
        <v>2138.4995086933714</v>
      </c>
      <c r="L108" s="304">
        <f t="shared" ca="1" si="29"/>
        <v>2156.7482488247015</v>
      </c>
      <c r="M108" s="306">
        <f t="shared" ca="1" si="45"/>
        <v>1.396103419491838</v>
      </c>
      <c r="N108" s="304">
        <f t="shared" ca="1" si="46"/>
        <v>79.990833700664624</v>
      </c>
      <c r="P108" s="310">
        <f t="shared" ca="1" si="47"/>
        <v>12</v>
      </c>
      <c r="Q108" s="304">
        <f t="shared" ca="1" si="48"/>
        <v>5.6250000000028724</v>
      </c>
      <c r="R108" s="306">
        <f t="shared" ca="1" si="49"/>
        <v>2.9854675652921728E-3</v>
      </c>
      <c r="S108" s="307">
        <f t="shared" ca="1" si="50"/>
        <v>1.7843530749789351</v>
      </c>
      <c r="T108" s="304">
        <f t="shared" ca="1" si="30"/>
        <v>17.504503665543353</v>
      </c>
      <c r="U108" s="311">
        <f t="shared" ca="1" si="31"/>
        <v>0</v>
      </c>
      <c r="V108" s="306">
        <f t="shared" ca="1" si="32"/>
        <v>0.98833880287408937</v>
      </c>
      <c r="W108" s="304">
        <f t="shared" ca="1" si="33"/>
        <v>44.511230492147106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2138.4995086933714</v>
      </c>
      <c r="AG108" s="306">
        <f t="shared" ca="1" si="56"/>
        <v>-31.544316249332208</v>
      </c>
      <c r="AH108" s="304">
        <f t="shared" ca="1" si="57"/>
        <v>-21.883466254142483</v>
      </c>
    </row>
    <row r="109" spans="1:34" x14ac:dyDescent="0.2">
      <c r="A109" s="347">
        <f t="shared" ca="1" si="35"/>
        <v>0.01</v>
      </c>
      <c r="B109" s="304">
        <f t="shared" ca="1" si="36"/>
        <v>11.749999999999977</v>
      </c>
      <c r="D109" s="306">
        <f t="shared" ca="1" si="37"/>
        <v>-3.9095387570057976</v>
      </c>
      <c r="E109" s="307">
        <f t="shared" ca="1" si="38"/>
        <v>-31.961372599276189</v>
      </c>
      <c r="F109" s="304">
        <f t="shared" ca="1" si="39"/>
        <v>32.199593657720172</v>
      </c>
      <c r="G109" s="306">
        <f t="shared" ca="1" si="40"/>
        <v>31.796461202812583</v>
      </c>
      <c r="H109" s="307">
        <f t="shared" ca="1" si="41"/>
        <v>180.06004734660957</v>
      </c>
      <c r="I109" s="304">
        <f t="shared" ca="1" si="42"/>
        <v>182.84593404143624</v>
      </c>
      <c r="J109" s="306">
        <f t="shared" ca="1" si="43"/>
        <v>280.28755149921608</v>
      </c>
      <c r="K109" s="307">
        <f t="shared" ca="1" si="44"/>
        <v>2140.3017072354673</v>
      </c>
      <c r="L109" s="304">
        <f t="shared" ca="1" si="29"/>
        <v>2158.5765007338709</v>
      </c>
      <c r="M109" s="306">
        <f t="shared" ca="1" si="45"/>
        <v>1.3960101697188054</v>
      </c>
      <c r="N109" s="304">
        <f t="shared" ca="1" si="46"/>
        <v>79.985490882229314</v>
      </c>
      <c r="P109" s="310">
        <f t="shared" ca="1" si="47"/>
        <v>12</v>
      </c>
      <c r="Q109" s="304">
        <f t="shared" ca="1" si="48"/>
        <v>4.3750000000029008</v>
      </c>
      <c r="R109" s="306">
        <f t="shared" ca="1" si="49"/>
        <v>2.3220303285609329E-3</v>
      </c>
      <c r="S109" s="307">
        <f t="shared" ca="1" si="50"/>
        <v>1.7843298546756494</v>
      </c>
      <c r="T109" s="304">
        <f t="shared" ca="1" si="30"/>
        <v>17.504275874368123</v>
      </c>
      <c r="U109" s="311">
        <f t="shared" ca="1" si="31"/>
        <v>0</v>
      </c>
      <c r="V109" s="306">
        <f t="shared" ca="1" si="32"/>
        <v>0.98815863929653525</v>
      </c>
      <c r="W109" s="304">
        <f t="shared" ca="1" si="33"/>
        <v>44.347006725622677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2140.3017072354673</v>
      </c>
      <c r="AG109" s="306">
        <f t="shared" ca="1" si="56"/>
        <v>-32.154419449881829</v>
      </c>
      <c r="AH109" s="304">
        <f t="shared" ca="1" si="57"/>
        <v>-22.493728044156981</v>
      </c>
    </row>
    <row r="110" spans="1:34" x14ac:dyDescent="0.2">
      <c r="A110" s="347">
        <f t="shared" ca="1" si="35"/>
        <v>0.01</v>
      </c>
      <c r="B110" s="304">
        <f t="shared" ca="1" si="36"/>
        <v>11.759999999999977</v>
      </c>
      <c r="D110" s="306">
        <f t="shared" ca="1" si="37"/>
        <v>-4.0174594798119792</v>
      </c>
      <c r="E110" s="307">
        <f t="shared" ca="1" si="38"/>
        <v>-32.560454509196852</v>
      </c>
      <c r="F110" s="304">
        <f t="shared" ca="1" si="39"/>
        <v>32.807364699369089</v>
      </c>
      <c r="G110" s="306">
        <f t="shared" ca="1" si="40"/>
        <v>31.756286608014463</v>
      </c>
      <c r="H110" s="307">
        <f t="shared" ca="1" si="41"/>
        <v>179.73444280151759</v>
      </c>
      <c r="I110" s="304">
        <f t="shared" ca="1" si="42"/>
        <v>182.51830502254384</v>
      </c>
      <c r="J110" s="306">
        <f t="shared" ca="1" si="43"/>
        <v>280.60531523827024</v>
      </c>
      <c r="K110" s="307">
        <f t="shared" ca="1" si="44"/>
        <v>2142.100679686208</v>
      </c>
      <c r="L110" s="304">
        <f t="shared" ca="1" si="29"/>
        <v>2160.4015054734809</v>
      </c>
      <c r="M110" s="306">
        <f t="shared" ca="1" si="45"/>
        <v>1.3959167032013184</v>
      </c>
      <c r="N110" s="304">
        <f t="shared" ca="1" si="46"/>
        <v>79.980135645251522</v>
      </c>
      <c r="P110" s="310">
        <f t="shared" ca="1" si="47"/>
        <v>12</v>
      </c>
      <c r="Q110" s="304">
        <f t="shared" ca="1" si="48"/>
        <v>3.1250000000029283</v>
      </c>
      <c r="R110" s="306">
        <f t="shared" ca="1" si="49"/>
        <v>1.6585930918296922E-3</v>
      </c>
      <c r="S110" s="307">
        <f t="shared" ca="1" si="50"/>
        <v>1.7843132687447312</v>
      </c>
      <c r="T110" s="304">
        <f t="shared" ca="1" si="30"/>
        <v>17.504113166385814</v>
      </c>
      <c r="U110" s="311">
        <f t="shared" ca="1" si="31"/>
        <v>0</v>
      </c>
      <c r="V110" s="306">
        <f t="shared" ca="1" si="32"/>
        <v>0.98797882747656329</v>
      </c>
      <c r="W110" s="304">
        <f t="shared" ca="1" si="33"/>
        <v>44.180183644144968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2142.100679686208</v>
      </c>
      <c r="AG110" s="306">
        <f t="shared" ca="1" si="56"/>
        <v>-32.762981613139132</v>
      </c>
      <c r="AH110" s="304">
        <f t="shared" ca="1" si="57"/>
        <v>-23.102449243466946</v>
      </c>
    </row>
    <row r="111" spans="1:34" x14ac:dyDescent="0.2">
      <c r="A111" s="347">
        <f t="shared" ca="1" si="35"/>
        <v>0.01</v>
      </c>
      <c r="B111" s="304">
        <f t="shared" ca="1" si="36"/>
        <v>11.769999999999976</v>
      </c>
      <c r="D111" s="306">
        <f t="shared" ca="1" si="37"/>
        <v>-4.1252301923156764</v>
      </c>
      <c r="E111" s="307">
        <f t="shared" ca="1" si="38"/>
        <v>-33.158005363345396</v>
      </c>
      <c r="F111" s="304">
        <f t="shared" ca="1" si="39"/>
        <v>33.413632604301419</v>
      </c>
      <c r="G111" s="306">
        <f t="shared" ca="1" si="40"/>
        <v>31.715034306091304</v>
      </c>
      <c r="H111" s="307">
        <f t="shared" ca="1" si="41"/>
        <v>179.40286274788414</v>
      </c>
      <c r="I111" s="304">
        <f t="shared" ca="1" si="42"/>
        <v>182.18460572499725</v>
      </c>
      <c r="J111" s="306">
        <f t="shared" ca="1" si="43"/>
        <v>280.92267184284077</v>
      </c>
      <c r="K111" s="307">
        <f t="shared" ca="1" si="44"/>
        <v>2143.8963662139549</v>
      </c>
      <c r="L111" s="304">
        <f t="shared" ca="1" si="29"/>
        <v>2162.2232023130082</v>
      </c>
      <c r="M111" s="306">
        <f t="shared" ca="1" si="45"/>
        <v>1.3958230159242351</v>
      </c>
      <c r="N111" s="304">
        <f t="shared" ca="1" si="46"/>
        <v>79.974767759680574</v>
      </c>
      <c r="P111" s="310">
        <f t="shared" ca="1" si="47"/>
        <v>12</v>
      </c>
      <c r="Q111" s="304">
        <f t="shared" ca="1" si="48"/>
        <v>1.8750000000029559</v>
      </c>
      <c r="R111" s="306">
        <f t="shared" ca="1" si="49"/>
        <v>9.9515585509845164E-4</v>
      </c>
      <c r="S111" s="307">
        <f t="shared" ca="1" si="50"/>
        <v>1.7843033171861802</v>
      </c>
      <c r="T111" s="304">
        <f t="shared" ca="1" si="30"/>
        <v>17.504015541596427</v>
      </c>
      <c r="U111" s="311">
        <f t="shared" ca="1" si="31"/>
        <v>0</v>
      </c>
      <c r="V111" s="306">
        <f t="shared" ca="1" si="32"/>
        <v>0.98779937322872147</v>
      </c>
      <c r="W111" s="304">
        <f t="shared" ca="1" si="33"/>
        <v>44.010786070482631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2143.8963662139549</v>
      </c>
      <c r="AG111" s="306">
        <f t="shared" ca="1" si="56"/>
        <v>-33.37000970916062</v>
      </c>
      <c r="AH111" s="304">
        <f t="shared" ca="1" si="57"/>
        <v>-23.709636829491892</v>
      </c>
    </row>
    <row r="112" spans="1:34" x14ac:dyDescent="0.2">
      <c r="A112" s="347">
        <f t="shared" ca="1" si="35"/>
        <v>0.01</v>
      </c>
      <c r="B112" s="304">
        <f t="shared" ca="1" si="36"/>
        <v>11.779999999999976</v>
      </c>
      <c r="D112" s="306">
        <f t="shared" ca="1" si="37"/>
        <v>-4.2328521912238166</v>
      </c>
      <c r="E112" s="307">
        <f t="shared" ca="1" si="38"/>
        <v>-33.754032138358951</v>
      </c>
      <c r="F112" s="304">
        <f t="shared" ca="1" si="39"/>
        <v>34.018402714855924</v>
      </c>
      <c r="G112" s="306">
        <f t="shared" ca="1" si="40"/>
        <v>31.672705784179065</v>
      </c>
      <c r="H112" s="307">
        <f t="shared" ca="1" si="41"/>
        <v>179.06532242650056</v>
      </c>
      <c r="I112" s="304">
        <f t="shared" ca="1" si="42"/>
        <v>181.84485141844894</v>
      </c>
      <c r="J112" s="306">
        <f t="shared" ca="1" si="43"/>
        <v>281.23961054329214</v>
      </c>
      <c r="K112" s="307">
        <f t="shared" ca="1" si="44"/>
        <v>2145.6887071398269</v>
      </c>
      <c r="L112" s="304">
        <f t="shared" ca="1" si="29"/>
        <v>2164.0415306749369</v>
      </c>
      <c r="M112" s="306">
        <f t="shared" ca="1" si="45"/>
        <v>1.3957291038339605</v>
      </c>
      <c r="N112" s="304">
        <f t="shared" ca="1" si="46"/>
        <v>79.969386993262589</v>
      </c>
      <c r="P112" s="310">
        <f t="shared" ca="1" si="47"/>
        <v>12</v>
      </c>
      <c r="Q112" s="304">
        <f t="shared" ca="1" si="48"/>
        <v>0.62500000000298428</v>
      </c>
      <c r="R112" s="306">
        <f t="shared" ca="1" si="49"/>
        <v>3.3171861836721149E-4</v>
      </c>
      <c r="S112" s="307">
        <f t="shared" ca="1" si="50"/>
        <v>1.7842999999999964</v>
      </c>
      <c r="T112" s="304">
        <f t="shared" ca="1" si="30"/>
        <v>17.503982999999966</v>
      </c>
      <c r="U112" s="311">
        <f t="shared" ca="1" si="31"/>
        <v>0</v>
      </c>
      <c r="V112" s="306">
        <f t="shared" ca="1" si="32"/>
        <v>0.98762028234878407</v>
      </c>
      <c r="W112" s="304">
        <f t="shared" ca="1" si="33"/>
        <v>43.838839005168012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2145.6887071398269</v>
      </c>
      <c r="AG112" s="306">
        <f t="shared" ca="1" si="56"/>
        <v>-33.975510843689598</v>
      </c>
      <c r="AH112" s="304">
        <f t="shared" ca="1" si="57"/>
        <v>-24.315297915417663</v>
      </c>
    </row>
    <row r="113" spans="1:34" x14ac:dyDescent="0.2">
      <c r="A113" s="347">
        <f t="shared" ca="1" si="35"/>
        <v>0.01</v>
      </c>
      <c r="B113" s="304">
        <f t="shared" ca="1" si="36"/>
        <v>11.789999999999976</v>
      </c>
      <c r="D113" s="306">
        <f t="shared" ca="1" si="37"/>
        <v>-4.2793255406811541</v>
      </c>
      <c r="E113" s="307">
        <f t="shared" ca="1" si="38"/>
        <v>-34.003664189334792</v>
      </c>
      <c r="F113" s="304">
        <f t="shared" ca="1" si="39"/>
        <v>34.271880680583834</v>
      </c>
      <c r="G113" s="306">
        <f t="shared" ca="1" si="40"/>
        <v>31.629912528772255</v>
      </c>
      <c r="H113" s="307">
        <f t="shared" ca="1" si="41"/>
        <v>178.72528578460722</v>
      </c>
      <c r="I113" s="304">
        <f t="shared" ca="1" si="42"/>
        <v>181.50255961106254</v>
      </c>
      <c r="J113" s="306">
        <f t="shared" ca="1" si="43"/>
        <v>281.55612363485687</v>
      </c>
      <c r="K113" s="307">
        <f t="shared" ca="1" si="44"/>
        <v>2147.4776601808826</v>
      </c>
      <c r="L113" s="304">
        <f t="shared" ca="1" si="29"/>
        <v>2165.8564476281072</v>
      </c>
      <c r="M113" s="306">
        <f t="shared" ca="1" si="45"/>
        <v>1.3956349646539308</v>
      </c>
      <c r="N113" s="304">
        <f t="shared" ca="1" si="46"/>
        <v>79.963993215560052</v>
      </c>
      <c r="P113" s="310">
        <f t="shared" ca="1" si="47"/>
        <v>13</v>
      </c>
      <c r="Q113" s="304">
        <f t="shared" ca="1" si="48"/>
        <v>0</v>
      </c>
      <c r="R113" s="306">
        <f t="shared" ca="1" si="49"/>
        <v>0</v>
      </c>
      <c r="S113" s="307">
        <f t="shared" ca="1" si="50"/>
        <v>1.7842999999999964</v>
      </c>
      <c r="T113" s="304">
        <f t="shared" ca="1" si="30"/>
        <v>17.503982999999966</v>
      </c>
      <c r="U113" s="311">
        <f t="shared" ca="1" si="31"/>
        <v>0</v>
      </c>
      <c r="V113" s="306">
        <f t="shared" ca="1" si="32"/>
        <v>0.98744155889126217</v>
      </c>
      <c r="W113" s="304">
        <f t="shared" ca="1" si="33"/>
        <v>43.666052709404298</v>
      </c>
      <c r="Y113" s="314" t="str">
        <f t="shared" ca="1" si="51"/>
        <v>Fin de propulsion</v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2147.4776601808826</v>
      </c>
      <c r="AG113" s="306">
        <f t="shared" ca="1" si="56"/>
        <v>-34.229261164107442</v>
      </c>
      <c r="AH113" s="304">
        <f t="shared" ca="1" si="57"/>
        <v>-24.569208656149808</v>
      </c>
    </row>
    <row r="114" spans="1:34" x14ac:dyDescent="0.2">
      <c r="A114" s="347">
        <f t="shared" ca="1" si="35"/>
        <v>0.01</v>
      </c>
      <c r="B114" s="304">
        <f t="shared" ca="1" si="36"/>
        <v>11.799999999999976</v>
      </c>
      <c r="D114" s="306">
        <f t="shared" ca="1" si="37"/>
        <v>-4.2647275931777804</v>
      </c>
      <c r="E114" s="307">
        <f t="shared" ca="1" si="38"/>
        <v>-33.907905967676903</v>
      </c>
      <c r="F114" s="304">
        <f t="shared" ca="1" si="39"/>
        <v>34.175049210744831</v>
      </c>
      <c r="G114" s="306">
        <f t="shared" ca="1" si="40"/>
        <v>31.587265252840478</v>
      </c>
      <c r="H114" s="307">
        <f t="shared" ca="1" si="41"/>
        <v>178.38620672493045</v>
      </c>
      <c r="I114" s="304">
        <f t="shared" ca="1" si="42"/>
        <v>181.16123778519213</v>
      </c>
      <c r="J114" s="306">
        <f t="shared" ca="1" si="43"/>
        <v>281.87220952376492</v>
      </c>
      <c r="K114" s="307">
        <f t="shared" ca="1" si="44"/>
        <v>2149.2632176434304</v>
      </c>
      <c r="L114" s="304">
        <f t="shared" ca="1" si="29"/>
        <v>2167.6679453312959</v>
      </c>
      <c r="M114" s="306">
        <f t="shared" ca="1" si="45"/>
        <v>1.3955405979110074</v>
      </c>
      <c r="N114" s="304">
        <f t="shared" ca="1" si="46"/>
        <v>79.958586399464153</v>
      </c>
      <c r="P114" s="310">
        <f t="shared" ca="1" si="47"/>
        <v>13</v>
      </c>
      <c r="Q114" s="304">
        <f t="shared" ca="1" si="48"/>
        <v>0</v>
      </c>
      <c r="R114" s="306">
        <f t="shared" ca="1" si="49"/>
        <v>0</v>
      </c>
      <c r="S114" s="307">
        <f t="shared" ca="1" si="50"/>
        <v>1.7842999999999964</v>
      </c>
      <c r="T114" s="304">
        <f t="shared" ca="1" si="30"/>
        <v>17.503982999999966</v>
      </c>
      <c r="U114" s="311">
        <f t="shared" ca="1" si="31"/>
        <v>0</v>
      </c>
      <c r="V114" s="306">
        <f t="shared" ca="1" si="32"/>
        <v>0.98726320345356178</v>
      </c>
      <c r="W114" s="304">
        <f t="shared" ca="1" si="33"/>
        <v>43.494118601108681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2149.2632176434304</v>
      </c>
      <c r="AG114" s="306">
        <f t="shared" ca="1" si="56"/>
        <v>-34.132263249825314</v>
      </c>
      <c r="AH114" s="304">
        <f t="shared" ca="1" si="57"/>
        <v>-24.472371635601853</v>
      </c>
    </row>
    <row r="115" spans="1:34" x14ac:dyDescent="0.2">
      <c r="A115" s="347">
        <f t="shared" ca="1" si="35"/>
        <v>0.01</v>
      </c>
      <c r="B115" s="304">
        <f t="shared" ca="1" si="36"/>
        <v>11.809999999999976</v>
      </c>
      <c r="D115" s="306">
        <f t="shared" ca="1" si="37"/>
        <v>-4.2502003914260618</v>
      </c>
      <c r="E115" s="307">
        <f t="shared" ca="1" si="38"/>
        <v>-33.812620029891022</v>
      </c>
      <c r="F115" s="304">
        <f t="shared" ca="1" si="39"/>
        <v>34.078695348458773</v>
      </c>
      <c r="G115" s="306">
        <f t="shared" ca="1" si="40"/>
        <v>31.544763248926216</v>
      </c>
      <c r="H115" s="307">
        <f t="shared" ca="1" si="41"/>
        <v>178.04808052463153</v>
      </c>
      <c r="I115" s="304">
        <f t="shared" ca="1" si="42"/>
        <v>180.82088116956095</v>
      </c>
      <c r="J115" s="306">
        <f t="shared" ca="1" si="43"/>
        <v>282.18786966627374</v>
      </c>
      <c r="K115" s="307">
        <f t="shared" ca="1" si="44"/>
        <v>2151.045389079678</v>
      </c>
      <c r="L115" s="304">
        <f t="shared" ca="1" si="29"/>
        <v>2169.4760334393495</v>
      </c>
      <c r="M115" s="306">
        <f t="shared" ca="1" si="45"/>
        <v>1.3954460031302931</v>
      </c>
      <c r="N115" s="304">
        <f t="shared" ca="1" si="46"/>
        <v>79.953166517765254</v>
      </c>
      <c r="P115" s="310">
        <f t="shared" ca="1" si="47"/>
        <v>13</v>
      </c>
      <c r="Q115" s="304">
        <f t="shared" ca="1" si="48"/>
        <v>0</v>
      </c>
      <c r="R115" s="306">
        <f t="shared" ca="1" si="49"/>
        <v>0</v>
      </c>
      <c r="S115" s="307">
        <f t="shared" ca="1" si="50"/>
        <v>1.7842999999999964</v>
      </c>
      <c r="T115" s="304">
        <f t="shared" ca="1" si="30"/>
        <v>17.503982999999966</v>
      </c>
      <c r="U115" s="311">
        <f t="shared" ca="1" si="31"/>
        <v>0</v>
      </c>
      <c r="V115" s="306">
        <f t="shared" ca="1" si="32"/>
        <v>0.98708521491074575</v>
      </c>
      <c r="W115" s="304">
        <f t="shared" ca="1" si="33"/>
        <v>43.323031108326553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2151.045389079678</v>
      </c>
      <c r="AG115" s="306">
        <f t="shared" ca="1" si="56"/>
        <v>-34.035742463939826</v>
      </c>
      <c r="AH115" s="304">
        <f t="shared" ca="1" si="57"/>
        <v>-24.376012218297802</v>
      </c>
    </row>
    <row r="116" spans="1:34" x14ac:dyDescent="0.2">
      <c r="A116" s="347">
        <f t="shared" ca="1" si="35"/>
        <v>0.01</v>
      </c>
      <c r="B116" s="304">
        <f t="shared" ca="1" si="36"/>
        <v>11.819999999999975</v>
      </c>
      <c r="D116" s="306">
        <f t="shared" ca="1" si="37"/>
        <v>-4.2357434705206636</v>
      </c>
      <c r="E116" s="307">
        <f t="shared" ca="1" si="38"/>
        <v>-33.717803287971016</v>
      </c>
      <c r="F116" s="304">
        <f t="shared" ca="1" si="39"/>
        <v>33.982815970934006</v>
      </c>
      <c r="G116" s="306">
        <f t="shared" ca="1" si="40"/>
        <v>31.50240581422101</v>
      </c>
      <c r="H116" s="307">
        <f t="shared" ca="1" si="41"/>
        <v>177.71090249175182</v>
      </c>
      <c r="I116" s="304">
        <f t="shared" ca="1" si="42"/>
        <v>180.48148502413423</v>
      </c>
      <c r="J116" s="306">
        <f t="shared" ca="1" si="43"/>
        <v>282.50310551158947</v>
      </c>
      <c r="K116" s="307">
        <f t="shared" ca="1" si="44"/>
        <v>2152.82418399476</v>
      </c>
      <c r="L116" s="304">
        <f t="shared" ca="1" si="29"/>
        <v>2171.2807215596044</v>
      </c>
      <c r="M116" s="306">
        <f t="shared" ca="1" si="45"/>
        <v>1.3953511798351237</v>
      </c>
      <c r="N116" s="304">
        <f t="shared" ca="1" si="46"/>
        <v>79.947733543152523</v>
      </c>
      <c r="P116" s="310">
        <f t="shared" ca="1" si="47"/>
        <v>13</v>
      </c>
      <c r="Q116" s="304">
        <f t="shared" ca="1" si="48"/>
        <v>0</v>
      </c>
      <c r="R116" s="306">
        <f t="shared" ca="1" si="49"/>
        <v>0</v>
      </c>
      <c r="S116" s="307">
        <f t="shared" ca="1" si="50"/>
        <v>1.7842999999999964</v>
      </c>
      <c r="T116" s="304">
        <f t="shared" ca="1" si="30"/>
        <v>17.503982999999966</v>
      </c>
      <c r="U116" s="311">
        <f t="shared" ca="1" si="31"/>
        <v>0</v>
      </c>
      <c r="V116" s="306">
        <f t="shared" ca="1" si="32"/>
        <v>0.98690759214358392</v>
      </c>
      <c r="W116" s="304">
        <f t="shared" ca="1" si="33"/>
        <v>43.152784704950278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2152.82418399476</v>
      </c>
      <c r="AG116" s="306">
        <f t="shared" ca="1" si="56"/>
        <v>-33.939695682249564</v>
      </c>
      <c r="AH116" s="304">
        <f t="shared" ca="1" si="57"/>
        <v>-24.280127281469841</v>
      </c>
    </row>
    <row r="117" spans="1:34" x14ac:dyDescent="0.2">
      <c r="A117" s="347">
        <f t="shared" ca="1" si="35"/>
        <v>0.01</v>
      </c>
      <c r="B117" s="304">
        <f t="shared" ca="1" si="36"/>
        <v>11.829999999999975</v>
      </c>
      <c r="D117" s="306">
        <f t="shared" ca="1" si="37"/>
        <v>-4.2213563693791105</v>
      </c>
      <c r="E117" s="307">
        <f t="shared" ca="1" si="38"/>
        <v>-33.62345267931935</v>
      </c>
      <c r="F117" s="304">
        <f t="shared" ca="1" si="39"/>
        <v>33.887407981073515</v>
      </c>
      <c r="G117" s="306">
        <f t="shared" ca="1" si="40"/>
        <v>31.460192250527218</v>
      </c>
      <c r="H117" s="307">
        <f t="shared" ca="1" si="41"/>
        <v>177.37466796495863</v>
      </c>
      <c r="I117" s="304">
        <f t="shared" ca="1" si="42"/>
        <v>180.14304463986238</v>
      </c>
      <c r="J117" s="306">
        <f t="shared" ca="1" si="43"/>
        <v>282.8179185019132</v>
      </c>
      <c r="K117" s="307">
        <f t="shared" ca="1" si="44"/>
        <v>2154.5996118470434</v>
      </c>
      <c r="L117" s="304">
        <f t="shared" ca="1" si="29"/>
        <v>2173.0820192521919</v>
      </c>
      <c r="M117" s="306">
        <f t="shared" ca="1" si="45"/>
        <v>1.3952561275470627</v>
      </c>
      <c r="N117" s="304">
        <f t="shared" ca="1" si="46"/>
        <v>79.942287448213577</v>
      </c>
      <c r="P117" s="310">
        <f t="shared" ca="1" si="47"/>
        <v>13</v>
      </c>
      <c r="Q117" s="304">
        <f t="shared" ca="1" si="48"/>
        <v>0</v>
      </c>
      <c r="R117" s="306">
        <f t="shared" ca="1" si="49"/>
        <v>0</v>
      </c>
      <c r="S117" s="307">
        <f t="shared" ca="1" si="50"/>
        <v>1.7842999999999964</v>
      </c>
      <c r="T117" s="304">
        <f t="shared" ca="1" si="30"/>
        <v>17.503982999999966</v>
      </c>
      <c r="U117" s="311">
        <f t="shared" ca="1" si="31"/>
        <v>0</v>
      </c>
      <c r="V117" s="306">
        <f t="shared" ca="1" si="32"/>
        <v>0.9867303340385144</v>
      </c>
      <c r="W117" s="304">
        <f t="shared" ca="1" si="33"/>
        <v>42.983373910265975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2154.5996118470434</v>
      </c>
      <c r="AG117" s="306">
        <f t="shared" ca="1" si="56"/>
        <v>-33.844119806241494</v>
      </c>
      <c r="AH117" s="304">
        <f t="shared" ca="1" si="57"/>
        <v>-24.184713728044816</v>
      </c>
    </row>
    <row r="118" spans="1:34" x14ac:dyDescent="0.2">
      <c r="A118" s="347">
        <f t="shared" ca="1" si="35"/>
        <v>0.01</v>
      </c>
      <c r="B118" s="304">
        <f t="shared" ca="1" si="36"/>
        <v>11.839999999999975</v>
      </c>
      <c r="D118" s="306">
        <f t="shared" ca="1" si="37"/>
        <v>-4.2070386307039547</v>
      </c>
      <c r="E118" s="307">
        <f t="shared" ca="1" si="38"/>
        <v>-33.529565166495857</v>
      </c>
      <c r="F118" s="304">
        <f t="shared" ca="1" si="39"/>
        <v>33.792468307220886</v>
      </c>
      <c r="G118" s="306">
        <f t="shared" ca="1" si="40"/>
        <v>31.418121864220179</v>
      </c>
      <c r="H118" s="307">
        <f t="shared" ca="1" si="41"/>
        <v>177.03937231329368</v>
      </c>
      <c r="I118" s="304">
        <f t="shared" ca="1" si="42"/>
        <v>179.80555533842664</v>
      </c>
      <c r="J118" s="306">
        <f t="shared" ca="1" si="43"/>
        <v>283.13231007248692</v>
      </c>
      <c r="K118" s="307">
        <f t="shared" ca="1" si="44"/>
        <v>2156.3716820484346</v>
      </c>
      <c r="L118" s="304">
        <f t="shared" ca="1" si="29"/>
        <v>2174.8799360303497</v>
      </c>
      <c r="M118" s="306">
        <f t="shared" ca="1" si="45"/>
        <v>1.3951608457858939</v>
      </c>
      <c r="N118" s="304">
        <f t="shared" ca="1" si="46"/>
        <v>79.936828205434026</v>
      </c>
      <c r="P118" s="310">
        <f t="shared" ca="1" si="47"/>
        <v>13</v>
      </c>
      <c r="Q118" s="304">
        <f t="shared" ca="1" si="48"/>
        <v>0</v>
      </c>
      <c r="R118" s="306">
        <f t="shared" ca="1" si="49"/>
        <v>0</v>
      </c>
      <c r="S118" s="307">
        <f t="shared" ca="1" si="50"/>
        <v>1.7842999999999964</v>
      </c>
      <c r="T118" s="304">
        <f t="shared" ca="1" si="30"/>
        <v>17.503982999999966</v>
      </c>
      <c r="U118" s="311">
        <f t="shared" ca="1" si="31"/>
        <v>0</v>
      </c>
      <c r="V118" s="306">
        <f t="shared" ca="1" si="32"/>
        <v>0.98655343948760588</v>
      </c>
      <c r="W118" s="304">
        <f t="shared" ca="1" si="33"/>
        <v>42.814793288505506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2156.3716820484346</v>
      </c>
      <c r="AG118" s="306">
        <f t="shared" ca="1" si="56"/>
        <v>-33.749011762837</v>
      </c>
      <c r="AH118" s="304">
        <f t="shared" ca="1" si="57"/>
        <v>-24.089768486390216</v>
      </c>
    </row>
    <row r="119" spans="1:34" x14ac:dyDescent="0.2">
      <c r="A119" s="347">
        <f t="shared" ca="1" si="35"/>
        <v>0.01</v>
      </c>
      <c r="B119" s="304">
        <f t="shared" ca="1" si="36"/>
        <v>11.849999999999975</v>
      </c>
      <c r="D119" s="306">
        <f t="shared" ca="1" si="37"/>
        <v>-4.192789800945433</v>
      </c>
      <c r="E119" s="307">
        <f t="shared" ca="1" si="38"/>
        <v>-33.436137736969499</v>
      </c>
      <c r="F119" s="304">
        <f t="shared" ca="1" si="39"/>
        <v>33.697993902909232</v>
      </c>
      <c r="G119" s="306">
        <f t="shared" ca="1" si="40"/>
        <v>31.376193966210725</v>
      </c>
      <c r="H119" s="307">
        <f t="shared" ca="1" si="41"/>
        <v>176.70501093592398</v>
      </c>
      <c r="I119" s="304">
        <f t="shared" ca="1" si="42"/>
        <v>179.46901247198718</v>
      </c>
      <c r="J119" s="306">
        <f t="shared" ca="1" si="43"/>
        <v>283.44628165163908</v>
      </c>
      <c r="K119" s="307">
        <f t="shared" ca="1" si="44"/>
        <v>2158.1404039646809</v>
      </c>
      <c r="L119" s="304">
        <f t="shared" ca="1" si="29"/>
        <v>2176.6744813607238</v>
      </c>
      <c r="M119" s="306">
        <f t="shared" ca="1" si="45"/>
        <v>1.3950653340696153</v>
      </c>
      <c r="N119" s="304">
        <f t="shared" ca="1" si="46"/>
        <v>79.931355787197205</v>
      </c>
      <c r="P119" s="310">
        <f t="shared" ca="1" si="47"/>
        <v>13</v>
      </c>
      <c r="Q119" s="304">
        <f t="shared" ca="1" si="48"/>
        <v>0</v>
      </c>
      <c r="R119" s="306">
        <f t="shared" ca="1" si="49"/>
        <v>0</v>
      </c>
      <c r="S119" s="307">
        <f t="shared" ca="1" si="50"/>
        <v>1.7842999999999964</v>
      </c>
      <c r="T119" s="304">
        <f t="shared" ca="1" si="30"/>
        <v>17.503982999999966</v>
      </c>
      <c r="U119" s="311">
        <f t="shared" ca="1" si="31"/>
        <v>0</v>
      </c>
      <c r="V119" s="306">
        <f t="shared" ca="1" si="32"/>
        <v>0.98637690738851891</v>
      </c>
      <c r="W119" s="304">
        <f t="shared" ca="1" si="33"/>
        <v>42.647037448403601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2158.1404039646809</v>
      </c>
      <c r="AG119" s="306">
        <f t="shared" ca="1" si="56"/>
        <v>-33.654368504140706</v>
      </c>
      <c r="AH119" s="304">
        <f t="shared" ca="1" si="57"/>
        <v>-23.995288510063101</v>
      </c>
    </row>
    <row r="120" spans="1:34" x14ac:dyDescent="0.2">
      <c r="A120" s="347">
        <f t="shared" ca="1" si="35"/>
        <v>0.01</v>
      </c>
      <c r="B120" s="304">
        <f t="shared" ca="1" si="36"/>
        <v>11.859999999999975</v>
      </c>
      <c r="D120" s="306">
        <f t="shared" ca="1" si="37"/>
        <v>-4.1786094302645207</v>
      </c>
      <c r="E120" s="307">
        <f t="shared" ca="1" si="38"/>
        <v>-33.343167402872879</v>
      </c>
      <c r="F120" s="304">
        <f t="shared" ca="1" si="39"/>
        <v>33.603981746613009</v>
      </c>
      <c r="G120" s="306">
        <f t="shared" ca="1" si="40"/>
        <v>31.334407871908081</v>
      </c>
      <c r="H120" s="307">
        <f t="shared" ca="1" si="41"/>
        <v>176.37157926189525</v>
      </c>
      <c r="I120" s="304">
        <f t="shared" ca="1" si="42"/>
        <v>179.13341142293388</v>
      </c>
      <c r="J120" s="306">
        <f t="shared" ca="1" si="43"/>
        <v>283.75983466082965</v>
      </c>
      <c r="K120" s="307">
        <f t="shared" ca="1" si="44"/>
        <v>2159.90578691567</v>
      </c>
      <c r="L120" s="304">
        <f t="shared" ca="1" si="29"/>
        <v>2178.4656646636736</v>
      </c>
      <c r="M120" s="306">
        <f t="shared" ca="1" si="45"/>
        <v>1.3949695919144316</v>
      </c>
      <c r="N120" s="304">
        <f t="shared" ca="1" si="46"/>
        <v>79.925870165783692</v>
      </c>
      <c r="P120" s="310">
        <f t="shared" ca="1" si="47"/>
        <v>13</v>
      </c>
      <c r="Q120" s="304">
        <f t="shared" ca="1" si="48"/>
        <v>0</v>
      </c>
      <c r="R120" s="306">
        <f t="shared" ca="1" si="49"/>
        <v>0</v>
      </c>
      <c r="S120" s="307">
        <f t="shared" ca="1" si="50"/>
        <v>1.7842999999999964</v>
      </c>
      <c r="T120" s="304">
        <f t="shared" ca="1" si="30"/>
        <v>17.503982999999966</v>
      </c>
      <c r="U120" s="311">
        <f t="shared" ca="1" si="31"/>
        <v>0</v>
      </c>
      <c r="V120" s="306">
        <f t="shared" ca="1" si="32"/>
        <v>0.98620073664447083</v>
      </c>
      <c r="W120" s="304">
        <f t="shared" ca="1" si="33"/>
        <v>42.480101042760175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2159.90578691567</v>
      </c>
      <c r="AG120" s="306">
        <f t="shared" ca="1" si="56"/>
        <v>-33.560187007192276</v>
      </c>
      <c r="AH120" s="304">
        <f t="shared" ca="1" si="57"/>
        <v>-23.901270777561894</v>
      </c>
    </row>
    <row r="121" spans="1:34" x14ac:dyDescent="0.2">
      <c r="A121" s="347">
        <f t="shared" ca="1" si="35"/>
        <v>0.01</v>
      </c>
      <c r="B121" s="304">
        <f t="shared" ca="1" si="36"/>
        <v>11.869999999999974</v>
      </c>
      <c r="D121" s="306">
        <f t="shared" ca="1" si="37"/>
        <v>-4.1644970724964381</v>
      </c>
      <c r="E121" s="307">
        <f t="shared" ca="1" si="38"/>
        <v>-33.250651200759698</v>
      </c>
      <c r="F121" s="304">
        <f t="shared" ca="1" si="39"/>
        <v>33.510428841502666</v>
      </c>
      <c r="G121" s="306">
        <f t="shared" ca="1" si="40"/>
        <v>31.292762901183117</v>
      </c>
      <c r="H121" s="307">
        <f t="shared" ca="1" si="41"/>
        <v>176.03907274988765</v>
      </c>
      <c r="I121" s="304">
        <f t="shared" ca="1" si="42"/>
        <v>178.79874760363927</v>
      </c>
      <c r="J121" s="306">
        <f t="shared" ca="1" si="43"/>
        <v>284.0729705146951</v>
      </c>
      <c r="K121" s="307">
        <f t="shared" ca="1" si="44"/>
        <v>2161.667840175729</v>
      </c>
      <c r="L121" s="304">
        <f t="shared" ca="1" si="29"/>
        <v>2180.253495313571</v>
      </c>
      <c r="M121" s="306">
        <f t="shared" ca="1" si="45"/>
        <v>1.3948736188347477</v>
      </c>
      <c r="N121" s="304">
        <f t="shared" ca="1" si="46"/>
        <v>79.920371313370936</v>
      </c>
      <c r="P121" s="310">
        <f t="shared" ca="1" si="47"/>
        <v>13</v>
      </c>
      <c r="Q121" s="304">
        <f t="shared" ca="1" si="48"/>
        <v>0</v>
      </c>
      <c r="R121" s="306">
        <f t="shared" ca="1" si="49"/>
        <v>0</v>
      </c>
      <c r="S121" s="307">
        <f t="shared" ca="1" si="50"/>
        <v>1.7842999999999964</v>
      </c>
      <c r="T121" s="304">
        <f t="shared" ca="1" si="30"/>
        <v>17.503982999999966</v>
      </c>
      <c r="U121" s="311">
        <f t="shared" ca="1" si="31"/>
        <v>0</v>
      </c>
      <c r="V121" s="306">
        <f t="shared" ca="1" si="32"/>
        <v>0.98602492616419679</v>
      </c>
      <c r="W121" s="304">
        <f t="shared" ca="1" si="33"/>
        <v>42.313978768007594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2161.667840175729</v>
      </c>
      <c r="AG121" s="306">
        <f t="shared" ca="1" si="56"/>
        <v>-33.466464273721058</v>
      </c>
      <c r="AH121" s="304">
        <f t="shared" ca="1" si="57"/>
        <v>-23.807712292081074</v>
      </c>
    </row>
    <row r="122" spans="1:34" x14ac:dyDescent="0.2">
      <c r="A122" s="347">
        <f t="shared" ca="1" si="35"/>
        <v>0.01</v>
      </c>
      <c r="B122" s="304">
        <f t="shared" ca="1" si="36"/>
        <v>11.879999999999974</v>
      </c>
      <c r="D122" s="306">
        <f t="shared" ca="1" si="37"/>
        <v>-4.1504522851145689</v>
      </c>
      <c r="E122" s="307">
        <f t="shared" ca="1" si="38"/>
        <v>-33.158586191364918</v>
      </c>
      <c r="F122" s="304">
        <f t="shared" ca="1" si="39"/>
        <v>33.417332215202173</v>
      </c>
      <c r="G122" s="306">
        <f t="shared" ca="1" si="40"/>
        <v>31.251258378331972</v>
      </c>
      <c r="H122" s="307">
        <f t="shared" ca="1" si="41"/>
        <v>175.707486887974</v>
      </c>
      <c r="I122" s="304">
        <f t="shared" ca="1" si="42"/>
        <v>178.46501645621424</v>
      </c>
      <c r="J122" s="306">
        <f t="shared" ca="1" si="43"/>
        <v>284.38569062109269</v>
      </c>
      <c r="K122" s="307">
        <f t="shared" ca="1" si="44"/>
        <v>2163.4265729739182</v>
      </c>
      <c r="L122" s="304">
        <f t="shared" ca="1" si="29"/>
        <v>2182.037982639099</v>
      </c>
      <c r="M122" s="306">
        <f t="shared" ca="1" si="45"/>
        <v>1.3947774143431624</v>
      </c>
      <c r="N122" s="304">
        <f t="shared" ca="1" si="46"/>
        <v>79.9148592020329</v>
      </c>
      <c r="P122" s="310">
        <f t="shared" ca="1" si="47"/>
        <v>13</v>
      </c>
      <c r="Q122" s="304">
        <f t="shared" ca="1" si="48"/>
        <v>0</v>
      </c>
      <c r="R122" s="306">
        <f t="shared" ca="1" si="49"/>
        <v>0</v>
      </c>
      <c r="S122" s="307">
        <f t="shared" ca="1" si="50"/>
        <v>1.7842999999999964</v>
      </c>
      <c r="T122" s="304">
        <f t="shared" ca="1" si="30"/>
        <v>17.503982999999966</v>
      </c>
      <c r="U122" s="311">
        <f t="shared" ca="1" si="31"/>
        <v>0</v>
      </c>
      <c r="V122" s="306">
        <f t="shared" ca="1" si="32"/>
        <v>0.98584947486191488</v>
      </c>
      <c r="W122" s="304">
        <f t="shared" ca="1" si="33"/>
        <v>42.148665363782911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2163.4265729739182</v>
      </c>
      <c r="AG122" s="306">
        <f t="shared" ca="1" si="56"/>
        <v>-33.373197329903547</v>
      </c>
      <c r="AH122" s="304">
        <f t="shared" ca="1" si="57"/>
        <v>-23.714610081268663</v>
      </c>
    </row>
    <row r="123" spans="1:34" x14ac:dyDescent="0.2">
      <c r="A123" s="347">
        <f t="shared" ca="1" si="35"/>
        <v>0.01</v>
      </c>
      <c r="B123" s="304">
        <f t="shared" ca="1" si="36"/>
        <v>11.889999999999974</v>
      </c>
      <c r="D123" s="306">
        <f t="shared" ca="1" si="37"/>
        <v>-4.1364746291947654</v>
      </c>
      <c r="E123" s="307">
        <f t="shared" ca="1" si="38"/>
        <v>-33.066969459367733</v>
      </c>
      <c r="F123" s="304">
        <f t="shared" ca="1" si="39"/>
        <v>33.324688919549274</v>
      </c>
      <c r="G123" s="306">
        <f t="shared" ca="1" si="40"/>
        <v>31.209893632040025</v>
      </c>
      <c r="H123" s="307">
        <f t="shared" ca="1" si="41"/>
        <v>175.37681719338033</v>
      </c>
      <c r="I123" s="304">
        <f t="shared" ca="1" si="42"/>
        <v>178.13221345226583</v>
      </c>
      <c r="J123" s="306">
        <f t="shared" ca="1" si="43"/>
        <v>284.69799638114455</v>
      </c>
      <c r="K123" s="307">
        <f t="shared" ca="1" si="44"/>
        <v>2165.181994494325</v>
      </c>
      <c r="L123" s="304">
        <f t="shared" ca="1" si="29"/>
        <v>2183.8191359235457</v>
      </c>
      <c r="M123" s="306">
        <f t="shared" ca="1" si="45"/>
        <v>1.3946809779504601</v>
      </c>
      <c r="N123" s="304">
        <f t="shared" ca="1" si="46"/>
        <v>79.909333803739585</v>
      </c>
      <c r="P123" s="310">
        <f t="shared" ca="1" si="47"/>
        <v>13</v>
      </c>
      <c r="Q123" s="304">
        <f t="shared" ca="1" si="48"/>
        <v>0</v>
      </c>
      <c r="R123" s="306">
        <f t="shared" ca="1" si="49"/>
        <v>0</v>
      </c>
      <c r="S123" s="307">
        <f t="shared" ca="1" si="50"/>
        <v>1.7842999999999964</v>
      </c>
      <c r="T123" s="304">
        <f t="shared" ca="1" si="30"/>
        <v>17.503982999999966</v>
      </c>
      <c r="U123" s="311">
        <f t="shared" ca="1" si="31"/>
        <v>0</v>
      </c>
      <c r="V123" s="306">
        <f t="shared" ca="1" si="32"/>
        <v>0.98567438165728849</v>
      </c>
      <c r="W123" s="304">
        <f t="shared" ca="1" si="33"/>
        <v>41.98415561250502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2165.181994494325</v>
      </c>
      <c r="AG123" s="306">
        <f t="shared" ca="1" si="56"/>
        <v>-33.280383226123647</v>
      </c>
      <c r="AH123" s="304">
        <f t="shared" ca="1" si="57"/>
        <v>-23.62196119698649</v>
      </c>
    </row>
    <row r="124" spans="1:34" x14ac:dyDescent="0.2">
      <c r="A124" s="347">
        <f t="shared" ca="1" si="35"/>
        <v>0.01</v>
      </c>
      <c r="B124" s="304">
        <f t="shared" ca="1" si="36"/>
        <v>11.899999999999974</v>
      </c>
      <c r="D124" s="306">
        <f t="shared" ca="1" si="37"/>
        <v>-4.1225636693801198</v>
      </c>
      <c r="E124" s="307">
        <f t="shared" ca="1" si="38"/>
        <v>-32.975798113157161</v>
      </c>
      <c r="F124" s="304">
        <f t="shared" ca="1" si="39"/>
        <v>33.232496030358483</v>
      </c>
      <c r="G124" s="306">
        <f t="shared" ca="1" si="40"/>
        <v>31.168667995346222</v>
      </c>
      <c r="H124" s="307">
        <f t="shared" ca="1" si="41"/>
        <v>175.04705921224877</v>
      </c>
      <c r="I124" s="304">
        <f t="shared" ca="1" si="42"/>
        <v>177.80033409265758</v>
      </c>
      <c r="J124" s="306">
        <f t="shared" ca="1" si="43"/>
        <v>285.00988918928147</v>
      </c>
      <c r="K124" s="307">
        <f t="shared" ca="1" si="44"/>
        <v>2166.934113876353</v>
      </c>
      <c r="L124" s="304">
        <f t="shared" ca="1" si="29"/>
        <v>2185.5969644050988</v>
      </c>
      <c r="M124" s="306">
        <f t="shared" ca="1" si="45"/>
        <v>1.3945843091656056</v>
      </c>
      <c r="N124" s="304">
        <f t="shared" ca="1" si="46"/>
        <v>79.903795090356766</v>
      </c>
      <c r="P124" s="310">
        <f t="shared" ca="1" si="47"/>
        <v>13</v>
      </c>
      <c r="Q124" s="304">
        <f t="shared" ca="1" si="48"/>
        <v>0</v>
      </c>
      <c r="R124" s="306">
        <f t="shared" ca="1" si="49"/>
        <v>0</v>
      </c>
      <c r="S124" s="307">
        <f t="shared" ca="1" si="50"/>
        <v>1.7842999999999964</v>
      </c>
      <c r="T124" s="304">
        <f t="shared" ca="1" si="30"/>
        <v>17.503982999999966</v>
      </c>
      <c r="U124" s="311">
        <f t="shared" ca="1" si="31"/>
        <v>0</v>
      </c>
      <c r="V124" s="306">
        <f t="shared" ca="1" si="32"/>
        <v>0.98549964547538993</v>
      </c>
      <c r="W124" s="304">
        <f t="shared" ca="1" si="33"/>
        <v>41.820444338956563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2166.934113876353</v>
      </c>
      <c r="AG124" s="306">
        <f t="shared" ca="1" si="56"/>
        <v>-33.188019036735589</v>
      </c>
      <c r="AH124" s="304">
        <f t="shared" ca="1" si="57"/>
        <v>-23.529762715073197</v>
      </c>
    </row>
    <row r="125" spans="1:34" x14ac:dyDescent="0.2">
      <c r="A125" s="347">
        <f t="shared" ca="1" si="35"/>
        <v>0.01</v>
      </c>
      <c r="B125" s="304">
        <f t="shared" ca="1" si="36"/>
        <v>11.909999999999973</v>
      </c>
      <c r="D125" s="306">
        <f t="shared" ca="1" si="37"/>
        <v>-4.1087189738460586</v>
      </c>
      <c r="E125" s="307">
        <f t="shared" ca="1" si="38"/>
        <v>-32.885069284600384</v>
      </c>
      <c r="F125" s="304">
        <f t="shared" ca="1" si="39"/>
        <v>33.140750647186771</v>
      </c>
      <c r="G125" s="306">
        <f t="shared" ca="1" si="40"/>
        <v>31.127580805607764</v>
      </c>
      <c r="H125" s="307">
        <f t="shared" ca="1" si="41"/>
        <v>174.71820851940276</v>
      </c>
      <c r="I125" s="304">
        <f t="shared" ca="1" si="42"/>
        <v>177.46937390727209</v>
      </c>
      <c r="J125" s="306">
        <f t="shared" ca="1" si="43"/>
        <v>285.32137043328623</v>
      </c>
      <c r="K125" s="307">
        <f t="shared" ca="1" si="44"/>
        <v>2168.6829402150111</v>
      </c>
      <c r="L125" s="304">
        <f t="shared" ca="1" si="29"/>
        <v>2187.3714772771345</v>
      </c>
      <c r="M125" s="306">
        <f t="shared" ca="1" si="45"/>
        <v>1.3944874074957363</v>
      </c>
      <c r="N125" s="304">
        <f t="shared" ca="1" si="46"/>
        <v>79.898243033645485</v>
      </c>
      <c r="P125" s="310">
        <f t="shared" ca="1" si="47"/>
        <v>13</v>
      </c>
      <c r="Q125" s="304">
        <f t="shared" ca="1" si="48"/>
        <v>0</v>
      </c>
      <c r="R125" s="306">
        <f t="shared" ca="1" si="49"/>
        <v>0</v>
      </c>
      <c r="S125" s="307">
        <f t="shared" ca="1" si="50"/>
        <v>1.7842999999999964</v>
      </c>
      <c r="T125" s="304">
        <f t="shared" ca="1" si="30"/>
        <v>17.503982999999966</v>
      </c>
      <c r="U125" s="311">
        <f t="shared" ca="1" si="31"/>
        <v>0</v>
      </c>
      <c r="V125" s="306">
        <f t="shared" ca="1" si="32"/>
        <v>0.98532526524666675</v>
      </c>
      <c r="W125" s="304">
        <f t="shared" ca="1" si="33"/>
        <v>41.657526409870783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2168.6829402150111</v>
      </c>
      <c r="AG125" s="306">
        <f t="shared" ca="1" si="56"/>
        <v>-33.096101859829631</v>
      </c>
      <c r="AH125" s="304">
        <f t="shared" ca="1" si="57"/>
        <v>-23.438011735109928</v>
      </c>
    </row>
    <row r="126" spans="1:34" x14ac:dyDescent="0.2">
      <c r="A126" s="347">
        <f t="shared" ca="1" si="35"/>
        <v>0.01</v>
      </c>
      <c r="B126" s="304">
        <f t="shared" ca="1" si="36"/>
        <v>11.919999999999973</v>
      </c>
      <c r="D126" s="306">
        <f t="shared" ca="1" si="37"/>
        <v>-4.0949401142659108</v>
      </c>
      <c r="E126" s="307">
        <f t="shared" ca="1" si="38"/>
        <v>-32.79478012881377</v>
      </c>
      <c r="F126" s="304">
        <f t="shared" ca="1" si="39"/>
        <v>33.049449893102043</v>
      </c>
      <c r="G126" s="306">
        <f t="shared" ca="1" si="40"/>
        <v>31.086631404465106</v>
      </c>
      <c r="H126" s="307">
        <f t="shared" ca="1" si="41"/>
        <v>174.39026071811463</v>
      </c>
      <c r="I126" s="304">
        <f t="shared" ca="1" si="42"/>
        <v>177.13932845477618</v>
      </c>
      <c r="J126" s="306">
        <f t="shared" ca="1" si="43"/>
        <v>285.6324414943366</v>
      </c>
      <c r="K126" s="307">
        <f t="shared" ca="1" si="44"/>
        <v>2170.4284825611985</v>
      </c>
      <c r="L126" s="304">
        <f t="shared" ca="1" si="29"/>
        <v>2189.142683688508</v>
      </c>
      <c r="M126" s="306">
        <f t="shared" ca="1" si="45"/>
        <v>1.3943902724461548</v>
      </c>
      <c r="N126" s="304">
        <f t="shared" ca="1" si="46"/>
        <v>79.892677605261667</v>
      </c>
      <c r="P126" s="310">
        <f t="shared" ca="1" si="47"/>
        <v>13</v>
      </c>
      <c r="Q126" s="304">
        <f t="shared" ca="1" si="48"/>
        <v>0</v>
      </c>
      <c r="R126" s="306">
        <f t="shared" ca="1" si="49"/>
        <v>0</v>
      </c>
      <c r="S126" s="307">
        <f t="shared" ca="1" si="50"/>
        <v>1.7842999999999964</v>
      </c>
      <c r="T126" s="304">
        <f t="shared" ca="1" si="30"/>
        <v>17.503982999999966</v>
      </c>
      <c r="U126" s="311">
        <f t="shared" ca="1" si="31"/>
        <v>0</v>
      </c>
      <c r="V126" s="306">
        <f t="shared" ca="1" si="32"/>
        <v>0.98515123990690534</v>
      </c>
      <c r="W126" s="304">
        <f t="shared" ca="1" si="33"/>
        <v>41.495396733522988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2170.4284825611985</v>
      </c>
      <c r="AG126" s="306">
        <f t="shared" ca="1" si="56"/>
        <v>-33.004628817000494</v>
      </c>
      <c r="AH126" s="304">
        <f t="shared" ca="1" si="57"/>
        <v>-23.346705380188794</v>
      </c>
    </row>
    <row r="127" spans="1:34" x14ac:dyDescent="0.2">
      <c r="A127" s="347">
        <f t="shared" ca="1" si="35"/>
        <v>0.01</v>
      </c>
      <c r="B127" s="304">
        <f t="shared" ca="1" si="36"/>
        <v>11.929999999999973</v>
      </c>
      <c r="D127" s="306">
        <f t="shared" ca="1" si="37"/>
        <v>-4.081226665776839</v>
      </c>
      <c r="E127" s="307">
        <f t="shared" ca="1" si="38"/>
        <v>-32.704927823936437</v>
      </c>
      <c r="F127" s="304">
        <f t="shared" ca="1" si="39"/>
        <v>32.958590914454149</v>
      </c>
      <c r="G127" s="306">
        <f t="shared" ca="1" si="40"/>
        <v>31.045819137807339</v>
      </c>
      <c r="H127" s="307">
        <f t="shared" ca="1" si="41"/>
        <v>174.06321143987526</v>
      </c>
      <c r="I127" s="304">
        <f t="shared" ca="1" si="42"/>
        <v>176.81019332238785</v>
      </c>
      <c r="J127" s="306">
        <f t="shared" ca="1" si="43"/>
        <v>285.94310374704799</v>
      </c>
      <c r="K127" s="307">
        <f t="shared" ca="1" si="44"/>
        <v>2172.1707499219883</v>
      </c>
      <c r="L127" s="304">
        <f t="shared" ca="1" si="29"/>
        <v>2190.9105927438363</v>
      </c>
      <c r="M127" s="306">
        <f t="shared" ca="1" si="45"/>
        <v>1.3942929035203226</v>
      </c>
      <c r="N127" s="304">
        <f t="shared" ca="1" si="46"/>
        <v>79.887098776755764</v>
      </c>
      <c r="P127" s="310">
        <f t="shared" ca="1" si="47"/>
        <v>13</v>
      </c>
      <c r="Q127" s="304">
        <f t="shared" ca="1" si="48"/>
        <v>0</v>
      </c>
      <c r="R127" s="306">
        <f t="shared" ca="1" si="49"/>
        <v>0</v>
      </c>
      <c r="S127" s="307">
        <f t="shared" ca="1" si="50"/>
        <v>1.7842999999999964</v>
      </c>
      <c r="T127" s="304">
        <f t="shared" ca="1" si="30"/>
        <v>17.503982999999966</v>
      </c>
      <c r="U127" s="311">
        <f t="shared" ca="1" si="31"/>
        <v>0</v>
      </c>
      <c r="V127" s="306">
        <f t="shared" ca="1" si="32"/>
        <v>0.98497756839719475</v>
      </c>
      <c r="W127" s="304">
        <f t="shared" ca="1" si="33"/>
        <v>41.334050259326467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2172.1707499219883</v>
      </c>
      <c r="AG127" s="306">
        <f t="shared" ca="1" si="56"/>
        <v>-32.913597053118302</v>
      </c>
      <c r="AH127" s="304">
        <f t="shared" ca="1" si="57"/>
        <v>-23.255840796683891</v>
      </c>
    </row>
    <row r="128" spans="1:34" x14ac:dyDescent="0.2">
      <c r="A128" s="347">
        <f t="shared" ca="1" si="35"/>
        <v>0.01</v>
      </c>
      <c r="B128" s="304">
        <f t="shared" ca="1" si="36"/>
        <v>11.939999999999973</v>
      </c>
      <c r="D128" s="306">
        <f t="shared" ca="1" si="37"/>
        <v>-4.0675782069461324</v>
      </c>
      <c r="E128" s="307">
        <f t="shared" ca="1" si="38"/>
        <v>-32.615509570906354</v>
      </c>
      <c r="F128" s="304">
        <f t="shared" ca="1" si="39"/>
        <v>32.868170880648456</v>
      </c>
      <c r="G128" s="306">
        <f t="shared" ca="1" si="40"/>
        <v>31.005143355737879</v>
      </c>
      <c r="H128" s="307">
        <f t="shared" ca="1" si="41"/>
        <v>173.73705634416621</v>
      </c>
      <c r="I128" s="304">
        <f t="shared" ca="1" si="42"/>
        <v>176.48196412564613</v>
      </c>
      <c r="J128" s="306">
        <f t="shared" ca="1" si="43"/>
        <v>286.25335855951573</v>
      </c>
      <c r="K128" s="307">
        <f t="shared" ca="1" si="44"/>
        <v>2173.9097512609087</v>
      </c>
      <c r="L128" s="304">
        <f t="shared" ca="1" si="29"/>
        <v>2192.675213503785</v>
      </c>
      <c r="M128" s="306">
        <f t="shared" ca="1" si="45"/>
        <v>1.3941953002198533</v>
      </c>
      <c r="N128" s="304">
        <f t="shared" ca="1" si="46"/>
        <v>79.881506519572326</v>
      </c>
      <c r="P128" s="310">
        <f t="shared" ca="1" si="47"/>
        <v>13</v>
      </c>
      <c r="Q128" s="304">
        <f t="shared" ca="1" si="48"/>
        <v>0</v>
      </c>
      <c r="R128" s="306">
        <f t="shared" ca="1" si="49"/>
        <v>0</v>
      </c>
      <c r="S128" s="307">
        <f t="shared" ca="1" si="50"/>
        <v>1.7842999999999964</v>
      </c>
      <c r="T128" s="304">
        <f t="shared" ca="1" si="30"/>
        <v>17.503982999999966</v>
      </c>
      <c r="U128" s="311">
        <f t="shared" ca="1" si="31"/>
        <v>0</v>
      </c>
      <c r="V128" s="306">
        <f t="shared" ca="1" si="32"/>
        <v>0.98480424966389357</v>
      </c>
      <c r="W128" s="304">
        <f t="shared" ca="1" si="33"/>
        <v>41.173481977433418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2173.9097512609087</v>
      </c>
      <c r="AG128" s="306">
        <f t="shared" ca="1" si="56"/>
        <v>-32.823003736102173</v>
      </c>
      <c r="AH128" s="304">
        <f t="shared" ca="1" si="57"/>
        <v>-23.165415154024856</v>
      </c>
    </row>
    <row r="129" spans="1:34" x14ac:dyDescent="0.2">
      <c r="A129" s="347">
        <f t="shared" ca="1" si="35"/>
        <v>0.01</v>
      </c>
      <c r="B129" s="304">
        <f t="shared" ca="1" si="36"/>
        <v>11.949999999999973</v>
      </c>
      <c r="D129" s="306">
        <f t="shared" ca="1" si="37"/>
        <v>-4.05399431973792</v>
      </c>
      <c r="E129" s="307">
        <f t="shared" ca="1" si="38"/>
        <v>-32.526522593239115</v>
      </c>
      <c r="F129" s="304">
        <f t="shared" ca="1" si="39"/>
        <v>32.778186983922126</v>
      </c>
      <c r="G129" s="306">
        <f t="shared" ca="1" si="40"/>
        <v>30.964603412540498</v>
      </c>
      <c r="H129" s="307">
        <f t="shared" ca="1" si="41"/>
        <v>173.41179111823382</v>
      </c>
      <c r="I129" s="304">
        <f t="shared" ca="1" si="42"/>
        <v>176.15463650818242</v>
      </c>
      <c r="J129" s="306">
        <f t="shared" ca="1" si="43"/>
        <v>286.56320729335715</v>
      </c>
      <c r="K129" s="307">
        <f t="shared" ca="1" si="44"/>
        <v>2175.6454954982205</v>
      </c>
      <c r="L129" s="304">
        <f t="shared" ca="1" si="29"/>
        <v>2194.436554985346</v>
      </c>
      <c r="M129" s="306">
        <f t="shared" ca="1" si="45"/>
        <v>1.3940974620445037</v>
      </c>
      <c r="N129" s="304">
        <f t="shared" ca="1" si="46"/>
        <v>79.87590080504954</v>
      </c>
      <c r="P129" s="310">
        <f t="shared" ca="1" si="47"/>
        <v>13</v>
      </c>
      <c r="Q129" s="304">
        <f t="shared" ca="1" si="48"/>
        <v>0</v>
      </c>
      <c r="R129" s="306">
        <f t="shared" ca="1" si="49"/>
        <v>0</v>
      </c>
      <c r="S129" s="307">
        <f t="shared" ca="1" si="50"/>
        <v>1.7842999999999964</v>
      </c>
      <c r="T129" s="304">
        <f t="shared" ca="1" si="30"/>
        <v>17.503982999999966</v>
      </c>
      <c r="U129" s="311">
        <f t="shared" ca="1" si="31"/>
        <v>0</v>
      </c>
      <c r="V129" s="306">
        <f t="shared" ca="1" si="32"/>
        <v>0.98463128265859379</v>
      </c>
      <c r="W129" s="304">
        <f t="shared" ca="1" si="33"/>
        <v>41.013686918339943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2175.6454954982205</v>
      </c>
      <c r="AG129" s="306">
        <f t="shared" ca="1" si="56"/>
        <v>-32.732846056696459</v>
      </c>
      <c r="AH129" s="304">
        <f t="shared" ca="1" si="57"/>
        <v>-23.075425644473182</v>
      </c>
    </row>
    <row r="130" spans="1:34" x14ac:dyDescent="0.2">
      <c r="A130" s="347">
        <f t="shared" ca="1" si="35"/>
        <v>0.01</v>
      </c>
      <c r="B130" s="304">
        <f t="shared" ca="1" si="36"/>
        <v>11.959999999999972</v>
      </c>
      <c r="D130" s="306">
        <f t="shared" ca="1" si="37"/>
        <v>-4.0404745894802625</v>
      </c>
      <c r="E130" s="307">
        <f t="shared" ca="1" si="38"/>
        <v>-32.437964136809079</v>
      </c>
      <c r="F130" s="304">
        <f t="shared" ca="1" si="39"/>
        <v>32.68863643912281</v>
      </c>
      <c r="G130" s="306">
        <f t="shared" ca="1" si="40"/>
        <v>30.924198666645694</v>
      </c>
      <c r="H130" s="307">
        <f t="shared" ca="1" si="41"/>
        <v>173.08741147686573</v>
      </c>
      <c r="I130" s="304">
        <f t="shared" ca="1" si="42"/>
        <v>175.82820614149483</v>
      </c>
      <c r="J130" s="306">
        <f t="shared" ca="1" si="43"/>
        <v>286.87265130375306</v>
      </c>
      <c r="K130" s="307">
        <f t="shared" ca="1" si="44"/>
        <v>2177.3779915111959</v>
      </c>
      <c r="L130" s="304">
        <f t="shared" ca="1" si="29"/>
        <v>2196.1946261621201</v>
      </c>
      <c r="M130" s="306">
        <f t="shared" ca="1" si="45"/>
        <v>1.3939993884921695</v>
      </c>
      <c r="N130" s="304">
        <f t="shared" ca="1" si="46"/>
        <v>79.870281604418935</v>
      </c>
      <c r="P130" s="310">
        <f t="shared" ca="1" si="47"/>
        <v>13</v>
      </c>
      <c r="Q130" s="304">
        <f t="shared" ca="1" si="48"/>
        <v>0</v>
      </c>
      <c r="R130" s="306">
        <f t="shared" ca="1" si="49"/>
        <v>0</v>
      </c>
      <c r="S130" s="307">
        <f t="shared" ca="1" si="50"/>
        <v>1.7842999999999964</v>
      </c>
      <c r="T130" s="304">
        <f t="shared" ca="1" si="30"/>
        <v>17.503982999999966</v>
      </c>
      <c r="U130" s="311">
        <f t="shared" ca="1" si="31"/>
        <v>0</v>
      </c>
      <c r="V130" s="306">
        <f t="shared" ca="1" si="32"/>
        <v>0.98445866633808854</v>
      </c>
      <c r="W130" s="304">
        <f t="shared" ca="1" si="33"/>
        <v>40.854660152495917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2177.3779915111959</v>
      </c>
      <c r="AG130" s="306">
        <f t="shared" ca="1" si="56"/>
        <v>-32.643121228249363</v>
      </c>
      <c r="AH130" s="304">
        <f t="shared" ca="1" si="57"/>
        <v>-22.985869482900871</v>
      </c>
    </row>
    <row r="131" spans="1:34" x14ac:dyDescent="0.2">
      <c r="A131" s="347">
        <f t="shared" ca="1" si="35"/>
        <v>0.01</v>
      </c>
      <c r="B131" s="304">
        <f t="shared" ca="1" si="36"/>
        <v>11.969999999999972</v>
      </c>
      <c r="D131" s="306">
        <f t="shared" ca="1" si="37"/>
        <v>-4.0270186048325609</v>
      </c>
      <c r="E131" s="307">
        <f t="shared" ca="1" si="38"/>
        <v>-32.349831469633124</v>
      </c>
      <c r="F131" s="304">
        <f t="shared" ca="1" si="39"/>
        <v>32.599516483489957</v>
      </c>
      <c r="G131" s="306">
        <f t="shared" ca="1" si="40"/>
        <v>30.883928480597369</v>
      </c>
      <c r="H131" s="307">
        <f t="shared" ca="1" si="41"/>
        <v>172.76391316216939</v>
      </c>
      <c r="I131" s="304">
        <f t="shared" ca="1" si="42"/>
        <v>175.50266872472412</v>
      </c>
      <c r="J131" s="306">
        <f t="shared" ca="1" si="43"/>
        <v>287.18169193948927</v>
      </c>
      <c r="K131" s="307">
        <f t="shared" ca="1" si="44"/>
        <v>2179.1072481343913</v>
      </c>
      <c r="L131" s="304">
        <f t="shared" ca="1" si="29"/>
        <v>2197.9494359645919</v>
      </c>
      <c r="M131" s="306">
        <f t="shared" ca="1" si="45"/>
        <v>1.3939010790588755</v>
      </c>
      <c r="N131" s="304">
        <f t="shared" ca="1" si="46"/>
        <v>79.864648888804865</v>
      </c>
      <c r="P131" s="310">
        <f t="shared" ca="1" si="47"/>
        <v>13</v>
      </c>
      <c r="Q131" s="304">
        <f t="shared" ca="1" si="48"/>
        <v>0</v>
      </c>
      <c r="R131" s="306">
        <f t="shared" ca="1" si="49"/>
        <v>0</v>
      </c>
      <c r="S131" s="307">
        <f t="shared" ca="1" si="50"/>
        <v>1.7842999999999964</v>
      </c>
      <c r="T131" s="304">
        <f t="shared" ca="1" si="30"/>
        <v>17.503982999999966</v>
      </c>
      <c r="U131" s="311">
        <f t="shared" ca="1" si="31"/>
        <v>0</v>
      </c>
      <c r="V131" s="306">
        <f t="shared" ca="1" si="32"/>
        <v>0.98428639966433573</v>
      </c>
      <c r="W131" s="304">
        <f t="shared" ca="1" si="33"/>
        <v>40.6963967899189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2179.1072481343913</v>
      </c>
      <c r="AG131" s="306">
        <f t="shared" ca="1" si="56"/>
        <v>-32.553826486494273</v>
      </c>
      <c r="AH131" s="304">
        <f t="shared" ca="1" si="57"/>
        <v>-22.896743906571764</v>
      </c>
    </row>
    <row r="132" spans="1:34" x14ac:dyDescent="0.2">
      <c r="A132" s="347">
        <f t="shared" ca="1" si="35"/>
        <v>0.01</v>
      </c>
      <c r="B132" s="304">
        <f t="shared" ca="1" si="36"/>
        <v>11.979999999999972</v>
      </c>
      <c r="D132" s="306">
        <f t="shared" ca="1" si="37"/>
        <v>-4.0136259577534172</v>
      </c>
      <c r="E132" s="307">
        <f t="shared" ca="1" si="38"/>
        <v>-32.262121881656682</v>
      </c>
      <c r="F132" s="304">
        <f t="shared" ca="1" si="39"/>
        <v>32.510824376438428</v>
      </c>
      <c r="G132" s="306">
        <f t="shared" ca="1" si="40"/>
        <v>30.843792221019836</v>
      </c>
      <c r="H132" s="307">
        <f t="shared" ca="1" si="41"/>
        <v>172.44129194335281</v>
      </c>
      <c r="I132" s="304">
        <f t="shared" ca="1" si="42"/>
        <v>175.17801998443207</v>
      </c>
      <c r="J132" s="306">
        <f t="shared" ca="1" si="43"/>
        <v>287.49033054299736</v>
      </c>
      <c r="K132" s="307">
        <f t="shared" ca="1" si="44"/>
        <v>2180.8332741599188</v>
      </c>
      <c r="L132" s="304">
        <f t="shared" ref="L132:L195" ca="1" si="58">SQRT(pos_x^2+pos_z^2)</f>
        <v>2199.7009932804035</v>
      </c>
      <c r="M132" s="306">
        <f t="shared" ca="1" si="45"/>
        <v>1.39380253323877</v>
      </c>
      <c r="N132" s="304">
        <f t="shared" ca="1" si="46"/>
        <v>79.859002629224165</v>
      </c>
      <c r="P132" s="310">
        <f t="shared" ca="1" si="47"/>
        <v>13</v>
      </c>
      <c r="Q132" s="304">
        <f t="shared" ca="1" si="48"/>
        <v>0</v>
      </c>
      <c r="R132" s="306">
        <f t="shared" ca="1" si="49"/>
        <v>0</v>
      </c>
      <c r="S132" s="307">
        <f t="shared" ca="1" si="50"/>
        <v>1.7842999999999964</v>
      </c>
      <c r="T132" s="304">
        <f t="shared" ref="T132:T195" ca="1" si="59">m*g</f>
        <v>17.503982999999966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0.98411448160442649</v>
      </c>
      <c r="W132" s="304">
        <f t="shared" ref="W132:W195" ca="1" si="62">1/2*Rho*Sref*Cx*vit_xz^2</f>
        <v>40.538891979812753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2180.8332741599188</v>
      </c>
      <c r="AG132" s="306">
        <f t="shared" ca="1" si="56"/>
        <v>-32.464959089333306</v>
      </c>
      <c r="AH132" s="304">
        <f t="shared" ca="1" si="57"/>
        <v>-22.80804617492517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11.989999999999972</v>
      </c>
      <c r="D133" s="306">
        <f t="shared" ref="D133:D196" ca="1" si="66">IF(AND(L132&lt;L_rampe,Poussee&lt;Poids*SIN(M132)),0,(-W132+Poussee)/m*COS(M132)-U132/m*SIN(M132))</f>
        <v>-4.0002962434687861</v>
      </c>
      <c r="E133" s="307">
        <f t="shared" ref="E133:E196" ca="1" si="67">IF(AND(L132&lt;L_rampe,Poussee&lt;Poids*SIN(M132)),0,(-W132+Poussee)/m*SIN(M132)+U132/m*COS(M132)-Poids/m)</f>
        <v>-32.17483268454238</v>
      </c>
      <c r="F133" s="304">
        <f t="shared" ref="F133:F196" ca="1" si="68">SQRT(acc_x^2+acc_z^2)</f>
        <v>32.422557399344782</v>
      </c>
      <c r="G133" s="306">
        <f t="shared" ref="G133:G196" ca="1" si="69">G132+acc_x*pas</f>
        <v>30.803789258585148</v>
      </c>
      <c r="H133" s="307">
        <f t="shared" ref="H133:H196" ca="1" si="70">H132+acc_z*pas</f>
        <v>172.11954361650737</v>
      </c>
      <c r="I133" s="304">
        <f t="shared" ref="I133:I196" ca="1" si="71">SQRT(vit_x^2+vit_z^2)</f>
        <v>174.85425567438187</v>
      </c>
      <c r="J133" s="306">
        <f t="shared" ref="J133:J196" ca="1" si="72">J132+0.5*(vit_x+G132)*pas*(K132&gt;=0)</f>
        <v>287.79856845039541</v>
      </c>
      <c r="K133" s="307">
        <f t="shared" ref="K133:K196" ca="1" si="73">K132+0.5*(vit_z+H132)*pas</f>
        <v>2182.5560783377182</v>
      </c>
      <c r="L133" s="304">
        <f t="shared" ca="1" si="58"/>
        <v>2201.4493069546293</v>
      </c>
      <c r="M133" s="306">
        <f t="shared" ref="M133:M196" ca="1" si="74">IF(AND(L132&gt;L_rampe,G133&gt;0),ATAN2(G133,H133),$M$4)</f>
        <v>1.393703750524117</v>
      </c>
      <c r="N133" s="304">
        <f t="shared" ref="N133:N196" ca="1" si="75">DEGREES(Beta)</f>
        <v>79.853342796585693</v>
      </c>
      <c r="P133" s="310">
        <f t="shared" ref="P133:P196" ca="1" si="76">MATCH(t-pas/2-T_ini,CdP_t)</f>
        <v>13</v>
      </c>
      <c r="Q133" s="304">
        <f t="shared" ref="Q133:Q196" ca="1" si="77">(INDEX(CdP,2,i_P+1)-INDEX(CdP,2,i_P+0))/(INDEX(CdP,1,i_P+1)-INDEX(CdP,1,i_P+0))*(t-pas/2-T_ini-INDEX(CdP,1,i_P+0))+INDEX(CdP,2,i_P+0)</f>
        <v>0</v>
      </c>
      <c r="R133" s="306">
        <f t="shared" ref="R133:R196" ca="1" si="78">Poussee/(g*ISP)</f>
        <v>0</v>
      </c>
      <c r="S133" s="307">
        <f t="shared" ref="S133:S196" ca="1" si="79">S132-Débit*pas</f>
        <v>1.7842999999999964</v>
      </c>
      <c r="T133" s="304">
        <f t="shared" ca="1" si="59"/>
        <v>17.503982999999966</v>
      </c>
      <c r="U133" s="311">
        <f t="shared" ca="1" si="60"/>
        <v>0</v>
      </c>
      <c r="V133" s="306">
        <f t="shared" ca="1" si="61"/>
        <v>0.98394291113055032</v>
      </c>
      <c r="W133" s="304">
        <f t="shared" ca="1" si="62"/>
        <v>40.382140910190209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2182.5560783377182</v>
      </c>
      <c r="AG133" s="306">
        <f t="shared" ref="AG133:AG196" ca="1" si="85">IF(AND(L132&lt;L_rampe,Poussee&lt;Poids*SIN(M132)),0,(-W132+Poussee)/m-Poids*SIN(M132)/m)</f>
        <v>-32.376516316623608</v>
      </c>
      <c r="AH133" s="304">
        <f t="shared" ref="AH133:AH196" ca="1" si="86">IF(AND(L132&lt;L_rampe,Poussee&lt;Poids*SIN(M132)), g*SIN(M132), (-W132+Poussee)/m)</f>
        <v>-22.719773569362122</v>
      </c>
    </row>
    <row r="134" spans="1:34" x14ac:dyDescent="0.2">
      <c r="A134" s="347">
        <f t="shared" ca="1" si="64"/>
        <v>0.01</v>
      </c>
      <c r="B134" s="304">
        <f t="shared" ca="1" si="65"/>
        <v>11.999999999999972</v>
      </c>
      <c r="D134" s="306">
        <f t="shared" ca="1" si="66"/>
        <v>-3.9870290604405216</v>
      </c>
      <c r="E134" s="307">
        <f t="shared" ca="1" si="67"/>
        <v>-32.087961211460879</v>
      </c>
      <c r="F134" s="304">
        <f t="shared" ca="1" si="68"/>
        <v>32.334712855335752</v>
      </c>
      <c r="G134" s="306">
        <f t="shared" ca="1" si="69"/>
        <v>30.763918967980743</v>
      </c>
      <c r="H134" s="307">
        <f t="shared" ca="1" si="70"/>
        <v>171.79866400439278</v>
      </c>
      <c r="I134" s="304">
        <f t="shared" ca="1" si="71"/>
        <v>174.53137157532089</v>
      </c>
      <c r="J134" s="306">
        <f t="shared" ca="1" si="72"/>
        <v>288.10640699152822</v>
      </c>
      <c r="K134" s="307">
        <f t="shared" ca="1" si="73"/>
        <v>2184.2756693758229</v>
      </c>
      <c r="L134" s="304">
        <f t="shared" ca="1" si="58"/>
        <v>2203.1943857900437</v>
      </c>
      <c r="M134" s="306">
        <f t="shared" ca="1" si="74"/>
        <v>1.3936047304052885</v>
      </c>
      <c r="N134" s="304">
        <f t="shared" ca="1" si="75"/>
        <v>79.847669361689938</v>
      </c>
      <c r="P134" s="310">
        <f t="shared" ca="1" si="76"/>
        <v>13</v>
      </c>
      <c r="Q134" s="304">
        <f t="shared" ca="1" si="77"/>
        <v>0</v>
      </c>
      <c r="R134" s="306">
        <f t="shared" ca="1" si="78"/>
        <v>0</v>
      </c>
      <c r="S134" s="307">
        <f t="shared" ca="1" si="79"/>
        <v>1.7842999999999964</v>
      </c>
      <c r="T134" s="304">
        <f t="shared" ca="1" si="59"/>
        <v>17.503982999999966</v>
      </c>
      <c r="U134" s="311">
        <f t="shared" ca="1" si="60"/>
        <v>0</v>
      </c>
      <c r="V134" s="306">
        <f t="shared" ca="1" si="61"/>
        <v>0.98377168721996255</v>
      </c>
      <c r="W134" s="304">
        <f t="shared" ca="1" si="62"/>
        <v>40.226138807499986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>
        <f t="shared" ca="1" si="83"/>
        <v>11.999999999999972</v>
      </c>
      <c r="AD134" s="323">
        <f t="shared" ca="1" si="84"/>
        <v>288.10640699152822</v>
      </c>
      <c r="AE134" s="324">
        <f t="shared" ca="1" si="63"/>
        <v>2184.2756693758229</v>
      </c>
      <c r="AG134" s="306">
        <f t="shared" ca="1" si="85"/>
        <v>-32.288495469965689</v>
      </c>
      <c r="AH134" s="304">
        <f t="shared" ca="1" si="86"/>
        <v>-22.631923393033844</v>
      </c>
    </row>
    <row r="135" spans="1:34" x14ac:dyDescent="0.2">
      <c r="A135" s="347">
        <f t="shared" ca="1" si="64"/>
        <v>0.01</v>
      </c>
      <c r="B135" s="304">
        <f t="shared" ca="1" si="65"/>
        <v>12.009999999999971</v>
      </c>
      <c r="D135" s="306">
        <f t="shared" ca="1" si="66"/>
        <v>-3.9738240103352798</v>
      </c>
      <c r="E135" s="307">
        <f t="shared" ca="1" si="67"/>
        <v>-32.001504816884172</v>
      </c>
      <c r="F135" s="304">
        <f t="shared" ca="1" si="68"/>
        <v>32.247288069079204</v>
      </c>
      <c r="G135" s="306">
        <f t="shared" ca="1" si="69"/>
        <v>30.724180727877389</v>
      </c>
      <c r="H135" s="307">
        <f t="shared" ca="1" si="70"/>
        <v>171.47864895622394</v>
      </c>
      <c r="I135" s="304">
        <f t="shared" ca="1" si="71"/>
        <v>174.20936349476497</v>
      </c>
      <c r="J135" s="306">
        <f t="shared" ca="1" si="72"/>
        <v>288.41384749000753</v>
      </c>
      <c r="K135" s="307">
        <f t="shared" ca="1" si="73"/>
        <v>2185.992055940626</v>
      </c>
      <c r="L135" s="304">
        <f t="shared" ca="1" si="58"/>
        <v>2204.9362385473901</v>
      </c>
      <c r="M135" s="306">
        <f t="shared" ca="1" si="74"/>
        <v>1.3935054723707585</v>
      </c>
      <c r="N135" s="304">
        <f t="shared" ca="1" si="75"/>
        <v>79.841982295228604</v>
      </c>
      <c r="P135" s="310">
        <f t="shared" ca="1" si="76"/>
        <v>13</v>
      </c>
      <c r="Q135" s="304">
        <f t="shared" ca="1" si="77"/>
        <v>0</v>
      </c>
      <c r="R135" s="306">
        <f t="shared" ca="1" si="78"/>
        <v>0</v>
      </c>
      <c r="S135" s="307">
        <f t="shared" ca="1" si="79"/>
        <v>1.7842999999999964</v>
      </c>
      <c r="T135" s="304">
        <f t="shared" ca="1" si="59"/>
        <v>17.503982999999966</v>
      </c>
      <c r="U135" s="311">
        <f t="shared" ca="1" si="60"/>
        <v>0</v>
      </c>
      <c r="V135" s="306">
        <f t="shared" ca="1" si="61"/>
        <v>0.98360080885495171</v>
      </c>
      <c r="W135" s="304">
        <f t="shared" ca="1" si="62"/>
        <v>40.070880936257858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2185.992055940626</v>
      </c>
      <c r="AG135" s="306">
        <f t="shared" ca="1" si="85"/>
        <v>-32.200893872494504</v>
      </c>
      <c r="AH135" s="304">
        <f t="shared" ca="1" si="86"/>
        <v>-22.544492970632778</v>
      </c>
    </row>
    <row r="136" spans="1:34" x14ac:dyDescent="0.2">
      <c r="A136" s="347">
        <f t="shared" ca="1" si="64"/>
        <v>0.01</v>
      </c>
      <c r="B136" s="304">
        <f t="shared" ca="1" si="65"/>
        <v>12.019999999999971</v>
      </c>
      <c r="D136" s="306">
        <f t="shared" ca="1" si="66"/>
        <v>-3.9606806979937312</v>
      </c>
      <c r="E136" s="307">
        <f t="shared" ca="1" si="67"/>
        <v>-31.915460876381196</v>
      </c>
      <c r="F136" s="304">
        <f t="shared" ca="1" si="68"/>
        <v>32.160280386577462</v>
      </c>
      <c r="G136" s="306">
        <f t="shared" ca="1" si="69"/>
        <v>30.684573920897453</v>
      </c>
      <c r="H136" s="307">
        <f t="shared" ca="1" si="70"/>
        <v>171.15949434746011</v>
      </c>
      <c r="I136" s="304">
        <f t="shared" ca="1" si="71"/>
        <v>173.88822726678552</v>
      </c>
      <c r="J136" s="306">
        <f t="shared" ca="1" si="72"/>
        <v>288.72089126325142</v>
      </c>
      <c r="K136" s="307">
        <f t="shared" ca="1" si="73"/>
        <v>2187.7052466571445</v>
      </c>
      <c r="L136" s="304">
        <f t="shared" ca="1" si="58"/>
        <v>2206.6748739456484</v>
      </c>
      <c r="M136" s="306">
        <f t="shared" ca="1" si="74"/>
        <v>1.3934059759070943</v>
      </c>
      <c r="N136" s="304">
        <f t="shared" ca="1" si="75"/>
        <v>79.83628156778417</v>
      </c>
      <c r="P136" s="310">
        <f t="shared" ca="1" si="76"/>
        <v>13</v>
      </c>
      <c r="Q136" s="304">
        <f t="shared" ca="1" si="77"/>
        <v>0</v>
      </c>
      <c r="R136" s="306">
        <f t="shared" ca="1" si="78"/>
        <v>0</v>
      </c>
      <c r="S136" s="307">
        <f t="shared" ca="1" si="79"/>
        <v>1.7842999999999964</v>
      </c>
      <c r="T136" s="304">
        <f t="shared" ca="1" si="59"/>
        <v>17.503982999999966</v>
      </c>
      <c r="U136" s="311">
        <f t="shared" ca="1" si="60"/>
        <v>0</v>
      </c>
      <c r="V136" s="306">
        <f t="shared" ca="1" si="61"/>
        <v>0.98343027502280644</v>
      </c>
      <c r="W136" s="304">
        <f t="shared" ca="1" si="62"/>
        <v>39.916362598682028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2187.7052466571445</v>
      </c>
      <c r="AG136" s="306">
        <f t="shared" ca="1" si="85"/>
        <v>-32.11370886867261</v>
      </c>
      <c r="AH136" s="304">
        <f t="shared" ca="1" si="86"/>
        <v>-22.457479648185807</v>
      </c>
    </row>
    <row r="137" spans="1:34" x14ac:dyDescent="0.2">
      <c r="A137" s="347">
        <f t="shared" ca="1" si="64"/>
        <v>0.01</v>
      </c>
      <c r="B137" s="304">
        <f t="shared" ca="1" si="65"/>
        <v>12.029999999999971</v>
      </c>
      <c r="D137" s="306">
        <f t="shared" ca="1" si="66"/>
        <v>-3.947598731400177</v>
      </c>
      <c r="E137" s="307">
        <f t="shared" ca="1" si="67"/>
        <v>-31.829826786415673</v>
      </c>
      <c r="F137" s="304">
        <f t="shared" ca="1" si="68"/>
        <v>32.073687174962856</v>
      </c>
      <c r="G137" s="306">
        <f t="shared" ca="1" si="69"/>
        <v>30.64509793358345</v>
      </c>
      <c r="H137" s="307">
        <f t="shared" ca="1" si="70"/>
        <v>170.84119607959596</v>
      </c>
      <c r="I137" s="304">
        <f t="shared" ca="1" si="71"/>
        <v>173.56795875179807</v>
      </c>
      <c r="J137" s="306">
        <f t="shared" ca="1" si="72"/>
        <v>289.02753962252382</v>
      </c>
      <c r="K137" s="307">
        <f t="shared" ca="1" si="73"/>
        <v>2189.4152501092799</v>
      </c>
      <c r="L137" s="304">
        <f t="shared" ca="1" si="58"/>
        <v>2208.4103006622954</v>
      </c>
      <c r="M137" s="306">
        <f t="shared" ca="1" si="74"/>
        <v>1.3933062404989491</v>
      </c>
      <c r="N137" s="304">
        <f t="shared" ca="1" si="75"/>
        <v>79.830567149829449</v>
      </c>
      <c r="P137" s="310">
        <f t="shared" ca="1" si="76"/>
        <v>13</v>
      </c>
      <c r="Q137" s="304">
        <f t="shared" ca="1" si="77"/>
        <v>0</v>
      </c>
      <c r="R137" s="306">
        <f t="shared" ca="1" si="78"/>
        <v>0</v>
      </c>
      <c r="S137" s="307">
        <f t="shared" ca="1" si="79"/>
        <v>1.7842999999999964</v>
      </c>
      <c r="T137" s="304">
        <f t="shared" ca="1" si="59"/>
        <v>17.503982999999966</v>
      </c>
      <c r="U137" s="311">
        <f t="shared" ca="1" si="60"/>
        <v>0</v>
      </c>
      <c r="V137" s="306">
        <f t="shared" ca="1" si="61"/>
        <v>0.98326008471578286</v>
      </c>
      <c r="W137" s="304">
        <f t="shared" ca="1" si="62"/>
        <v>39.762579134332455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2189.4152501092799</v>
      </c>
      <c r="AG137" s="306">
        <f t="shared" ca="1" si="85"/>
        <v>-32.026937824085778</v>
      </c>
      <c r="AH137" s="304">
        <f t="shared" ca="1" si="86"/>
        <v>-22.370880792849917</v>
      </c>
    </row>
    <row r="138" spans="1:34" x14ac:dyDescent="0.2">
      <c r="A138" s="347">
        <f t="shared" ca="1" si="64"/>
        <v>0.01</v>
      </c>
      <c r="B138" s="304">
        <f t="shared" ca="1" si="65"/>
        <v>12.039999999999971</v>
      </c>
      <c r="D138" s="306">
        <f t="shared" ca="1" si="66"/>
        <v>-3.9345777216524658</v>
      </c>
      <c r="E138" s="307">
        <f t="shared" ca="1" si="67"/>
        <v>-31.744599964146275</v>
      </c>
      <c r="F138" s="304">
        <f t="shared" ca="1" si="68"/>
        <v>31.987505822295674</v>
      </c>
      <c r="G138" s="306">
        <f t="shared" ca="1" si="69"/>
        <v>30.605752156366925</v>
      </c>
      <c r="H138" s="307">
        <f t="shared" ca="1" si="70"/>
        <v>170.52375007995451</v>
      </c>
      <c r="I138" s="304">
        <f t="shared" ca="1" si="71"/>
        <v>173.24855383635312</v>
      </c>
      <c r="J138" s="306">
        <f t="shared" ca="1" si="72"/>
        <v>289.33379387297356</v>
      </c>
      <c r="K138" s="307">
        <f t="shared" ca="1" si="73"/>
        <v>2191.1220748400779</v>
      </c>
      <c r="L138" s="304">
        <f t="shared" ca="1" si="58"/>
        <v>2210.1425273335694</v>
      </c>
      <c r="M138" s="306">
        <f t="shared" ca="1" si="74"/>
        <v>1.3932062656290563</v>
      </c>
      <c r="N138" s="304">
        <f t="shared" ca="1" si="75"/>
        <v>79.824839011727207</v>
      </c>
      <c r="P138" s="310">
        <f t="shared" ca="1" si="76"/>
        <v>13</v>
      </c>
      <c r="Q138" s="304">
        <f t="shared" ca="1" si="77"/>
        <v>0</v>
      </c>
      <c r="R138" s="306">
        <f t="shared" ca="1" si="78"/>
        <v>0</v>
      </c>
      <c r="S138" s="307">
        <f t="shared" ca="1" si="79"/>
        <v>1.7842999999999964</v>
      </c>
      <c r="T138" s="304">
        <f t="shared" ca="1" si="59"/>
        <v>17.503982999999966</v>
      </c>
      <c r="U138" s="311">
        <f t="shared" ca="1" si="60"/>
        <v>0</v>
      </c>
      <c r="V138" s="306">
        <f t="shared" ca="1" si="61"/>
        <v>0.98309023693107356</v>
      </c>
      <c r="W138" s="304">
        <f t="shared" ca="1" si="62"/>
        <v>39.609525919754283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2191.1220748400779</v>
      </c>
      <c r="AG138" s="306">
        <f t="shared" ca="1" si="85"/>
        <v>-31.94057812524083</v>
      </c>
      <c r="AH138" s="304">
        <f t="shared" ca="1" si="86"/>
        <v>-22.284693792710044</v>
      </c>
    </row>
    <row r="139" spans="1:34" x14ac:dyDescent="0.2">
      <c r="A139" s="347">
        <f t="shared" ca="1" si="64"/>
        <v>0.01</v>
      </c>
      <c r="B139" s="304">
        <f t="shared" ca="1" si="65"/>
        <v>12.049999999999971</v>
      </c>
      <c r="D139" s="306">
        <f t="shared" ca="1" si="66"/>
        <v>-3.9216172829322384</v>
      </c>
      <c r="E139" s="307">
        <f t="shared" ca="1" si="67"/>
        <v>-31.659777847229002</v>
      </c>
      <c r="F139" s="304">
        <f t="shared" ca="1" si="68"/>
        <v>31.90173373736426</v>
      </c>
      <c r="G139" s="306">
        <f t="shared" ca="1" si="69"/>
        <v>30.566535983537602</v>
      </c>
      <c r="H139" s="307">
        <f t="shared" ca="1" si="70"/>
        <v>170.20715230148221</v>
      </c>
      <c r="I139" s="304">
        <f t="shared" ca="1" si="71"/>
        <v>172.9300084329289</v>
      </c>
      <c r="J139" s="306">
        <f t="shared" ca="1" si="72"/>
        <v>289.63965531367307</v>
      </c>
      <c r="K139" s="307">
        <f t="shared" ca="1" si="73"/>
        <v>2192.825729351985</v>
      </c>
      <c r="L139" s="304">
        <f t="shared" ca="1" si="58"/>
        <v>2211.8715625547266</v>
      </c>
      <c r="M139" s="306">
        <f t="shared" ca="1" si="74"/>
        <v>1.3931060507782194</v>
      </c>
      <c r="N139" s="304">
        <f t="shared" ca="1" si="75"/>
        <v>79.819097123729719</v>
      </c>
      <c r="P139" s="310">
        <f t="shared" ca="1" si="76"/>
        <v>13</v>
      </c>
      <c r="Q139" s="304">
        <f t="shared" ca="1" si="77"/>
        <v>0</v>
      </c>
      <c r="R139" s="306">
        <f t="shared" ca="1" si="78"/>
        <v>0</v>
      </c>
      <c r="S139" s="307">
        <f t="shared" ca="1" si="79"/>
        <v>1.7842999999999964</v>
      </c>
      <c r="T139" s="304">
        <f t="shared" ca="1" si="59"/>
        <v>17.503982999999966</v>
      </c>
      <c r="U139" s="311">
        <f t="shared" ca="1" si="60"/>
        <v>0</v>
      </c>
      <c r="V139" s="306">
        <f t="shared" ca="1" si="61"/>
        <v>0.98292073067077457</v>
      </c>
      <c r="W139" s="304">
        <f t="shared" ca="1" si="62"/>
        <v>39.457198368125226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2192.825729351985</v>
      </c>
      <c r="AG139" s="306">
        <f t="shared" ca="1" si="85"/>
        <v>-31.854627179365771</v>
      </c>
      <c r="AH139" s="304">
        <f t="shared" ca="1" si="86"/>
        <v>-22.198916056579254</v>
      </c>
    </row>
    <row r="140" spans="1:34" x14ac:dyDescent="0.2">
      <c r="A140" s="347">
        <f t="shared" ca="1" si="64"/>
        <v>0.01</v>
      </c>
      <c r="B140" s="304">
        <f t="shared" ca="1" si="65"/>
        <v>12.05999999999997</v>
      </c>
      <c r="D140" s="306">
        <f t="shared" ca="1" si="66"/>
        <v>-3.9087170324755514</v>
      </c>
      <c r="E140" s="307">
        <f t="shared" ca="1" si="67"/>
        <v>-31.575357893621756</v>
      </c>
      <c r="F140" s="304">
        <f t="shared" ca="1" si="68"/>
        <v>31.816368349487441</v>
      </c>
      <c r="G140" s="306">
        <f t="shared" ca="1" si="69"/>
        <v>30.527448813212846</v>
      </c>
      <c r="H140" s="307">
        <f t="shared" ca="1" si="70"/>
        <v>169.891398722546</v>
      </c>
      <c r="I140" s="304">
        <f t="shared" ca="1" si="71"/>
        <v>172.61231847972621</v>
      </c>
      <c r="J140" s="306">
        <f t="shared" ca="1" si="72"/>
        <v>289.94512523765684</v>
      </c>
      <c r="K140" s="307">
        <f t="shared" ca="1" si="73"/>
        <v>2194.5262221071052</v>
      </c>
      <c r="L140" s="304">
        <f t="shared" ca="1" si="58"/>
        <v>2213.5974148803039</v>
      </c>
      <c r="M140" s="306">
        <f t="shared" ca="1" si="74"/>
        <v>1.3930055954253069</v>
      </c>
      <c r="N140" s="304">
        <f t="shared" ca="1" si="75"/>
        <v>79.813341455978346</v>
      </c>
      <c r="P140" s="310">
        <f t="shared" ca="1" si="76"/>
        <v>13</v>
      </c>
      <c r="Q140" s="304">
        <f t="shared" ca="1" si="77"/>
        <v>0</v>
      </c>
      <c r="R140" s="306">
        <f t="shared" ca="1" si="78"/>
        <v>0</v>
      </c>
      <c r="S140" s="307">
        <f t="shared" ca="1" si="79"/>
        <v>1.7842999999999964</v>
      </c>
      <c r="T140" s="304">
        <f t="shared" ca="1" si="59"/>
        <v>17.503982999999966</v>
      </c>
      <c r="U140" s="311">
        <f t="shared" ca="1" si="60"/>
        <v>0</v>
      </c>
      <c r="V140" s="306">
        <f t="shared" ca="1" si="61"/>
        <v>0.982751564941855</v>
      </c>
      <c r="W140" s="304">
        <f t="shared" ca="1" si="62"/>
        <v>39.3055919289069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2194.5262221071052</v>
      </c>
      <c r="AG140" s="306">
        <f t="shared" ca="1" si="85"/>
        <v>-31.769082414212136</v>
      </c>
      <c r="AH140" s="304">
        <f t="shared" ca="1" si="86"/>
        <v>-22.113545013801101</v>
      </c>
    </row>
    <row r="141" spans="1:34" x14ac:dyDescent="0.2">
      <c r="A141" s="347">
        <f t="shared" ca="1" si="64"/>
        <v>0.01</v>
      </c>
      <c r="B141" s="304">
        <f t="shared" ca="1" si="65"/>
        <v>12.06999999999997</v>
      </c>
      <c r="D141" s="306">
        <f t="shared" ca="1" si="66"/>
        <v>-3.8958765905437707</v>
      </c>
      <c r="E141" s="307">
        <f t="shared" ca="1" si="67"/>
        <v>-31.491337581391107</v>
      </c>
      <c r="F141" s="304">
        <f t="shared" ca="1" si="68"/>
        <v>31.731407108319083</v>
      </c>
      <c r="G141" s="306">
        <f t="shared" ca="1" si="69"/>
        <v>30.488490047307408</v>
      </c>
      <c r="H141" s="307">
        <f t="shared" ca="1" si="70"/>
        <v>169.57648534673208</v>
      </c>
      <c r="I141" s="304">
        <f t="shared" ca="1" si="71"/>
        <v>172.29547994046507</v>
      </c>
      <c r="J141" s="306">
        <f t="shared" ca="1" si="72"/>
        <v>290.25020493195944</v>
      </c>
      <c r="K141" s="307">
        <f t="shared" ca="1" si="73"/>
        <v>2196.2235615274517</v>
      </c>
      <c r="L141" s="304">
        <f t="shared" ca="1" si="58"/>
        <v>2215.3200928243687</v>
      </c>
      <c r="M141" s="306">
        <f t="shared" ca="1" si="74"/>
        <v>1.392904899047243</v>
      </c>
      <c r="N141" s="304">
        <f t="shared" ca="1" si="75"/>
        <v>79.807571978503034</v>
      </c>
      <c r="P141" s="310">
        <f t="shared" ca="1" si="76"/>
        <v>13</v>
      </c>
      <c r="Q141" s="304">
        <f t="shared" ca="1" si="77"/>
        <v>0</v>
      </c>
      <c r="R141" s="306">
        <f t="shared" ca="1" si="78"/>
        <v>0</v>
      </c>
      <c r="S141" s="307">
        <f t="shared" ca="1" si="79"/>
        <v>1.7842999999999964</v>
      </c>
      <c r="T141" s="304">
        <f t="shared" ca="1" si="59"/>
        <v>17.503982999999966</v>
      </c>
      <c r="U141" s="311">
        <f t="shared" ca="1" si="60"/>
        <v>0</v>
      </c>
      <c r="V141" s="306">
        <f t="shared" ca="1" si="61"/>
        <v>0.98258273875612501</v>
      </c>
      <c r="W141" s="304">
        <f t="shared" ca="1" si="62"/>
        <v>39.154702087499984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2196.2235615274517</v>
      </c>
      <c r="AG141" s="306">
        <f t="shared" ca="1" si="85"/>
        <v>-31.683941277859532</v>
      </c>
      <c r="AH141" s="304">
        <f t="shared" ca="1" si="86"/>
        <v>-22.028578114054238</v>
      </c>
    </row>
    <row r="142" spans="1:34" x14ac:dyDescent="0.2">
      <c r="A142" s="347">
        <f t="shared" ca="1" si="64"/>
        <v>0.01</v>
      </c>
      <c r="B142" s="304">
        <f t="shared" ca="1" si="65"/>
        <v>12.07999999999997</v>
      </c>
      <c r="D142" s="306">
        <f t="shared" ca="1" si="66"/>
        <v>-3.8830955803948415</v>
      </c>
      <c r="E142" s="307">
        <f t="shared" ca="1" si="67"/>
        <v>-31.407714408521173</v>
      </c>
      <c r="F142" s="304">
        <f t="shared" ca="1" si="68"/>
        <v>31.646847483654838</v>
      </c>
      <c r="G142" s="306">
        <f t="shared" ca="1" si="69"/>
        <v>30.44965909150346</v>
      </c>
      <c r="H142" s="307">
        <f t="shared" ca="1" si="70"/>
        <v>169.26240820264687</v>
      </c>
      <c r="I142" s="304">
        <f t="shared" ca="1" si="71"/>
        <v>171.97948880418338</v>
      </c>
      <c r="J142" s="306">
        <f t="shared" ca="1" si="72"/>
        <v>290.55489567765352</v>
      </c>
      <c r="K142" s="307">
        <f t="shared" ca="1" si="73"/>
        <v>2197.9177559951986</v>
      </c>
      <c r="L142" s="304">
        <f t="shared" ca="1" si="58"/>
        <v>2217.0396048607749</v>
      </c>
      <c r="M142" s="306">
        <f t="shared" ca="1" si="74"/>
        <v>1.3928039611190015</v>
      </c>
      <c r="N142" s="304">
        <f t="shared" ca="1" si="75"/>
        <v>79.801788661221991</v>
      </c>
      <c r="P142" s="310">
        <f t="shared" ca="1" si="76"/>
        <v>13</v>
      </c>
      <c r="Q142" s="304">
        <f t="shared" ca="1" si="77"/>
        <v>0</v>
      </c>
      <c r="R142" s="306">
        <f t="shared" ca="1" si="78"/>
        <v>0</v>
      </c>
      <c r="S142" s="307">
        <f t="shared" ca="1" si="79"/>
        <v>1.7842999999999964</v>
      </c>
      <c r="T142" s="304">
        <f t="shared" ca="1" si="59"/>
        <v>17.503982999999966</v>
      </c>
      <c r="U142" s="311">
        <f t="shared" ca="1" si="60"/>
        <v>0</v>
      </c>
      <c r="V142" s="306">
        <f t="shared" ca="1" si="61"/>
        <v>0.98241425113020386</v>
      </c>
      <c r="W142" s="304">
        <f t="shared" ca="1" si="62"/>
        <v>39.00452436490319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2197.9177559951986</v>
      </c>
      <c r="AG142" s="306">
        <f t="shared" ca="1" si="85"/>
        <v>-31.599201238522362</v>
      </c>
      <c r="AH142" s="304">
        <f t="shared" ca="1" si="86"/>
        <v>-21.944012827159145</v>
      </c>
    </row>
    <row r="143" spans="1:34" x14ac:dyDescent="0.2">
      <c r="A143" s="347">
        <f t="shared" ca="1" si="64"/>
        <v>0.01</v>
      </c>
      <c r="B143" s="304">
        <f t="shared" ca="1" si="65"/>
        <v>12.08999999999997</v>
      </c>
      <c r="D143" s="306">
        <f t="shared" ca="1" si="66"/>
        <v>-3.8703736282548156</v>
      </c>
      <c r="E143" s="307">
        <f t="shared" ca="1" si="67"/>
        <v>-31.324485892724638</v>
      </c>
      <c r="F143" s="304">
        <f t="shared" ca="1" si="68"/>
        <v>31.562686965241017</v>
      </c>
      <c r="G143" s="306">
        <f t="shared" ca="1" si="69"/>
        <v>30.41095535522091</v>
      </c>
      <c r="H143" s="307">
        <f t="shared" ca="1" si="70"/>
        <v>168.94916334371962</v>
      </c>
      <c r="I143" s="304">
        <f t="shared" ca="1" si="71"/>
        <v>171.66434108503748</v>
      </c>
      <c r="J143" s="306">
        <f t="shared" ca="1" si="72"/>
        <v>290.85919874988713</v>
      </c>
      <c r="K143" s="307">
        <f t="shared" ca="1" si="73"/>
        <v>2199.6088138529303</v>
      </c>
      <c r="L143" s="304">
        <f t="shared" ca="1" si="58"/>
        <v>2218.7559594234158</v>
      </c>
      <c r="M143" s="306">
        <f t="shared" ca="1" si="74"/>
        <v>1.3927027811135968</v>
      </c>
      <c r="N143" s="304">
        <f t="shared" ca="1" si="75"/>
        <v>79.7959914739412</v>
      </c>
      <c r="P143" s="310">
        <f t="shared" ca="1" si="76"/>
        <v>13</v>
      </c>
      <c r="Q143" s="304">
        <f t="shared" ca="1" si="77"/>
        <v>0</v>
      </c>
      <c r="R143" s="306">
        <f t="shared" ca="1" si="78"/>
        <v>0</v>
      </c>
      <c r="S143" s="307">
        <f t="shared" ca="1" si="79"/>
        <v>1.7842999999999964</v>
      </c>
      <c r="T143" s="304">
        <f t="shared" ca="1" si="59"/>
        <v>17.503982999999966</v>
      </c>
      <c r="U143" s="311">
        <f t="shared" ca="1" si="60"/>
        <v>0</v>
      </c>
      <c r="V143" s="306">
        <f t="shared" ca="1" si="61"/>
        <v>0.98224610108549182</v>
      </c>
      <c r="W143" s="304">
        <f t="shared" ca="1" si="62"/>
        <v>38.855054317376187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2199.6088138529303</v>
      </c>
      <c r="AG143" s="306">
        <f t="shared" ca="1" si="85"/>
        <v>-31.514859784358642</v>
      </c>
      <c r="AH143" s="304">
        <f t="shared" ca="1" si="86"/>
        <v>-21.859846642886996</v>
      </c>
    </row>
    <row r="144" spans="1:34" x14ac:dyDescent="0.2">
      <c r="A144" s="347">
        <f t="shared" ca="1" si="64"/>
        <v>0.01</v>
      </c>
      <c r="B144" s="304">
        <f t="shared" ca="1" si="65"/>
        <v>12.099999999999969</v>
      </c>
      <c r="D144" s="306">
        <f t="shared" ca="1" si="66"/>
        <v>-3.8577103632897716</v>
      </c>
      <c r="E144" s="307">
        <f t="shared" ca="1" si="67"/>
        <v>-31.241649571255934</v>
      </c>
      <c r="F144" s="304">
        <f t="shared" ca="1" si="68"/>
        <v>31.478923062585693</v>
      </c>
      <c r="G144" s="306">
        <f t="shared" ca="1" si="69"/>
        <v>30.372378251588014</v>
      </c>
      <c r="H144" s="307">
        <f t="shared" ca="1" si="70"/>
        <v>168.63674684800705</v>
      </c>
      <c r="I144" s="304">
        <f t="shared" ca="1" si="71"/>
        <v>171.35003282210468</v>
      </c>
      <c r="J144" s="306">
        <f t="shared" ca="1" si="72"/>
        <v>291.16311541792118</v>
      </c>
      <c r="K144" s="307">
        <f t="shared" ca="1" si="73"/>
        <v>2201.2967434038887</v>
      </c>
      <c r="L144" s="304">
        <f t="shared" ca="1" si="58"/>
        <v>2220.4691649064698</v>
      </c>
      <c r="M144" s="306">
        <f t="shared" ca="1" si="74"/>
        <v>1.3926013585020769</v>
      </c>
      <c r="N144" s="304">
        <f t="shared" ca="1" si="75"/>
        <v>79.79018038635391</v>
      </c>
      <c r="P144" s="310">
        <f t="shared" ca="1" si="76"/>
        <v>13</v>
      </c>
      <c r="Q144" s="304">
        <f t="shared" ca="1" si="77"/>
        <v>0</v>
      </c>
      <c r="R144" s="306">
        <f t="shared" ca="1" si="78"/>
        <v>0</v>
      </c>
      <c r="S144" s="307">
        <f t="shared" ca="1" si="79"/>
        <v>1.7842999999999964</v>
      </c>
      <c r="T144" s="304">
        <f t="shared" ca="1" si="59"/>
        <v>17.503982999999966</v>
      </c>
      <c r="U144" s="311">
        <f t="shared" ca="1" si="60"/>
        <v>0</v>
      </c>
      <c r="V144" s="306">
        <f t="shared" ca="1" si="61"/>
        <v>0.98207828764813654</v>
      </c>
      <c r="W144" s="304">
        <f t="shared" ca="1" si="62"/>
        <v>38.706287536105968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2201.2967434038887</v>
      </c>
      <c r="AG144" s="306">
        <f t="shared" ca="1" si="85"/>
        <v>-31.430914423281063</v>
      </c>
      <c r="AH144" s="304">
        <f t="shared" ca="1" si="86"/>
        <v>-21.776077070770757</v>
      </c>
    </row>
    <row r="145" spans="1:34" x14ac:dyDescent="0.2">
      <c r="A145" s="347">
        <f t="shared" ca="1" si="64"/>
        <v>0.01</v>
      </c>
      <c r="B145" s="304">
        <f t="shared" ca="1" si="65"/>
        <v>12.109999999999969</v>
      </c>
      <c r="D145" s="306">
        <f t="shared" ca="1" si="66"/>
        <v>-3.8451054175779782</v>
      </c>
      <c r="E145" s="307">
        <f t="shared" ca="1" si="67"/>
        <v>-31.159203000726336</v>
      </c>
      <c r="F145" s="304">
        <f t="shared" ca="1" si="68"/>
        <v>31.395553304771692</v>
      </c>
      <c r="G145" s="306">
        <f t="shared" ca="1" si="69"/>
        <v>30.333927197412233</v>
      </c>
      <c r="H145" s="307">
        <f t="shared" ca="1" si="70"/>
        <v>168.32515481799979</v>
      </c>
      <c r="I145" s="304">
        <f t="shared" ca="1" si="71"/>
        <v>171.03656007918747</v>
      </c>
      <c r="J145" s="306">
        <f t="shared" ca="1" si="72"/>
        <v>291.46664694516619</v>
      </c>
      <c r="K145" s="307">
        <f t="shared" ca="1" si="73"/>
        <v>2202.9815529122188</v>
      </c>
      <c r="L145" s="304">
        <f t="shared" ca="1" si="58"/>
        <v>2222.1792296646527</v>
      </c>
      <c r="M145" s="306">
        <f t="shared" ca="1" si="74"/>
        <v>1.3924996927535156</v>
      </c>
      <c r="N145" s="304">
        <f t="shared" ca="1" si="75"/>
        <v>79.784355368040309</v>
      </c>
      <c r="P145" s="310">
        <f t="shared" ca="1" si="76"/>
        <v>13</v>
      </c>
      <c r="Q145" s="304">
        <f t="shared" ca="1" si="77"/>
        <v>0</v>
      </c>
      <c r="R145" s="306">
        <f t="shared" ca="1" si="78"/>
        <v>0</v>
      </c>
      <c r="S145" s="307">
        <f t="shared" ca="1" si="79"/>
        <v>1.7842999999999964</v>
      </c>
      <c r="T145" s="304">
        <f t="shared" ca="1" si="59"/>
        <v>17.503982999999966</v>
      </c>
      <c r="U145" s="311">
        <f t="shared" ca="1" si="60"/>
        <v>0</v>
      </c>
      <c r="V145" s="306">
        <f t="shared" ca="1" si="61"/>
        <v>0.98191080984900392</v>
      </c>
      <c r="W145" s="304">
        <f t="shared" ca="1" si="62"/>
        <v>38.558219646877134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2202.9815529122188</v>
      </c>
      <c r="AG145" s="306">
        <f t="shared" ca="1" si="85"/>
        <v>-31.34736268276999</v>
      </c>
      <c r="AH145" s="304">
        <f t="shared" ca="1" si="86"/>
        <v>-21.692701639918202</v>
      </c>
    </row>
    <row r="146" spans="1:34" x14ac:dyDescent="0.2">
      <c r="A146" s="347">
        <f t="shared" ca="1" si="64"/>
        <v>0.01</v>
      </c>
      <c r="B146" s="304">
        <f t="shared" ca="1" si="65"/>
        <v>12.119999999999969</v>
      </c>
      <c r="D146" s="306">
        <f t="shared" ca="1" si="66"/>
        <v>-3.8325584260823962</v>
      </c>
      <c r="E146" s="307">
        <f t="shared" ca="1" si="67"/>
        <v>-31.077143756921231</v>
      </c>
      <c r="F146" s="304">
        <f t="shared" ca="1" si="68"/>
        <v>31.312575240271812</v>
      </c>
      <c r="G146" s="306">
        <f t="shared" ca="1" si="69"/>
        <v>30.295601613151408</v>
      </c>
      <c r="H146" s="307">
        <f t="shared" ca="1" si="70"/>
        <v>168.01438338043059</v>
      </c>
      <c r="I146" s="304">
        <f t="shared" ca="1" si="71"/>
        <v>170.72391894461973</v>
      </c>
      <c r="J146" s="306">
        <f t="shared" ca="1" si="72"/>
        <v>291.76979458921903</v>
      </c>
      <c r="K146" s="307">
        <f t="shared" ca="1" si="73"/>
        <v>2204.6632506032111</v>
      </c>
      <c r="L146" s="304">
        <f t="shared" ca="1" si="58"/>
        <v>2223.8861620134585</v>
      </c>
      <c r="M146" s="306">
        <f t="shared" ca="1" si="74"/>
        <v>1.3923977833350052</v>
      </c>
      <c r="N146" s="304">
        <f t="shared" ca="1" si="75"/>
        <v>79.778516388467025</v>
      </c>
      <c r="P146" s="310">
        <f t="shared" ca="1" si="76"/>
        <v>13</v>
      </c>
      <c r="Q146" s="304">
        <f t="shared" ca="1" si="77"/>
        <v>0</v>
      </c>
      <c r="R146" s="306">
        <f t="shared" ca="1" si="78"/>
        <v>0</v>
      </c>
      <c r="S146" s="307">
        <f t="shared" ca="1" si="79"/>
        <v>1.7842999999999964</v>
      </c>
      <c r="T146" s="304">
        <f t="shared" ca="1" si="59"/>
        <v>17.503982999999966</v>
      </c>
      <c r="U146" s="311">
        <f t="shared" ca="1" si="60"/>
        <v>0</v>
      </c>
      <c r="V146" s="306">
        <f t="shared" ca="1" si="61"/>
        <v>0.98174366672364954</v>
      </c>
      <c r="W146" s="304">
        <f t="shared" ca="1" si="62"/>
        <v>38.410846309745779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2204.6632506032111</v>
      </c>
      <c r="AG146" s="306">
        <f t="shared" ca="1" si="85"/>
        <v>-31.2642021096886</v>
      </c>
      <c r="AH146" s="304">
        <f t="shared" ca="1" si="86"/>
        <v>-21.60971789882711</v>
      </c>
    </row>
    <row r="147" spans="1:34" x14ac:dyDescent="0.2">
      <c r="A147" s="347">
        <f t="shared" ca="1" si="64"/>
        <v>0.01</v>
      </c>
      <c r="B147" s="304">
        <f t="shared" ca="1" si="65"/>
        <v>12.129999999999969</v>
      </c>
      <c r="D147" s="306">
        <f t="shared" ca="1" si="66"/>
        <v>-3.820069026623476</v>
      </c>
      <c r="E147" s="307">
        <f t="shared" ca="1" si="67"/>
        <v>-30.995469434619395</v>
      </c>
      <c r="F147" s="304">
        <f t="shared" ca="1" si="68"/>
        <v>31.22998643676608</v>
      </c>
      <c r="G147" s="306">
        <f t="shared" ca="1" si="69"/>
        <v>30.257400922885175</v>
      </c>
      <c r="H147" s="307">
        <f t="shared" ca="1" si="70"/>
        <v>167.70442868608438</v>
      </c>
      <c r="I147" s="304">
        <f t="shared" ca="1" si="71"/>
        <v>170.41210553107481</v>
      </c>
      <c r="J147" s="306">
        <f t="shared" ca="1" si="72"/>
        <v>292.07255960189923</v>
      </c>
      <c r="K147" s="307">
        <f t="shared" ca="1" si="73"/>
        <v>2206.3418446635437</v>
      </c>
      <c r="L147" s="304">
        <f t="shared" ca="1" si="58"/>
        <v>2225.5899702294073</v>
      </c>
      <c r="M147" s="306">
        <f t="shared" ca="1" si="74"/>
        <v>1.3922956297116476</v>
      </c>
      <c r="N147" s="304">
        <f t="shared" ca="1" si="75"/>
        <v>79.772663416986674</v>
      </c>
      <c r="P147" s="310">
        <f t="shared" ca="1" si="76"/>
        <v>13</v>
      </c>
      <c r="Q147" s="304">
        <f t="shared" ca="1" si="77"/>
        <v>0</v>
      </c>
      <c r="R147" s="306">
        <f t="shared" ca="1" si="78"/>
        <v>0</v>
      </c>
      <c r="S147" s="307">
        <f t="shared" ca="1" si="79"/>
        <v>1.7842999999999964</v>
      </c>
      <c r="T147" s="304">
        <f t="shared" ca="1" si="59"/>
        <v>17.503982999999966</v>
      </c>
      <c r="U147" s="311">
        <f t="shared" ca="1" si="60"/>
        <v>0</v>
      </c>
      <c r="V147" s="306">
        <f t="shared" ca="1" si="61"/>
        <v>0.98157685731228639</v>
      </c>
      <c r="W147" s="304">
        <f t="shared" ca="1" si="62"/>
        <v>38.264163218716831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2206.3418446635437</v>
      </c>
      <c r="AG147" s="306">
        <f t="shared" ca="1" si="85"/>
        <v>-31.181430270100119</v>
      </c>
      <c r="AH147" s="304">
        <f t="shared" ca="1" si="86"/>
        <v>-21.527123415202521</v>
      </c>
    </row>
    <row r="148" spans="1:34" x14ac:dyDescent="0.2">
      <c r="A148" s="347">
        <f t="shared" ca="1" si="64"/>
        <v>0.01</v>
      </c>
      <c r="B148" s="304">
        <f t="shared" ca="1" si="65"/>
        <v>12.139999999999969</v>
      </c>
      <c r="D148" s="306">
        <f t="shared" ca="1" si="66"/>
        <v>-3.8076368598522725</v>
      </c>
      <c r="E148" s="307">
        <f t="shared" ca="1" si="67"/>
        <v>-30.914177647414164</v>
      </c>
      <c r="F148" s="304">
        <f t="shared" ca="1" si="68"/>
        <v>31.147784480960876</v>
      </c>
      <c r="G148" s="306">
        <f t="shared" ca="1" si="69"/>
        <v>30.219324554286651</v>
      </c>
      <c r="H148" s="307">
        <f t="shared" ca="1" si="70"/>
        <v>167.39528690961023</v>
      </c>
      <c r="I148" s="304">
        <f t="shared" ca="1" si="71"/>
        <v>170.10111597537517</v>
      </c>
      <c r="J148" s="306">
        <f t="shared" ca="1" si="72"/>
        <v>292.37494322928507</v>
      </c>
      <c r="K148" s="307">
        <f t="shared" ca="1" si="73"/>
        <v>2208.0173432415222</v>
      </c>
      <c r="L148" s="304">
        <f t="shared" ca="1" si="58"/>
        <v>2227.2906625502828</v>
      </c>
      <c r="M148" s="306">
        <f t="shared" ca="1" si="74"/>
        <v>1.3921932313465473</v>
      </c>
      <c r="N148" s="304">
        <f t="shared" ca="1" si="75"/>
        <v>79.766796422837388</v>
      </c>
      <c r="P148" s="310">
        <f t="shared" ca="1" si="76"/>
        <v>13</v>
      </c>
      <c r="Q148" s="304">
        <f t="shared" ca="1" si="77"/>
        <v>0</v>
      </c>
      <c r="R148" s="306">
        <f t="shared" ca="1" si="78"/>
        <v>0</v>
      </c>
      <c r="S148" s="307">
        <f t="shared" ca="1" si="79"/>
        <v>1.7842999999999964</v>
      </c>
      <c r="T148" s="304">
        <f t="shared" ca="1" si="59"/>
        <v>17.503982999999966</v>
      </c>
      <c r="U148" s="311">
        <f t="shared" ca="1" si="60"/>
        <v>0</v>
      </c>
      <c r="V148" s="306">
        <f t="shared" ca="1" si="61"/>
        <v>0.98141038065975661</v>
      </c>
      <c r="W148" s="304">
        <f t="shared" ca="1" si="62"/>
        <v>38.118166101425047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2208.0173432415222</v>
      </c>
      <c r="AG148" s="306">
        <f t="shared" ca="1" si="85"/>
        <v>-31.099044749086925</v>
      </c>
      <c r="AH148" s="304">
        <f t="shared" ca="1" si="86"/>
        <v>-21.444915775775883</v>
      </c>
    </row>
    <row r="149" spans="1:34" x14ac:dyDescent="0.2">
      <c r="A149" s="347">
        <f t="shared" ca="1" si="64"/>
        <v>0.01</v>
      </c>
      <c r="B149" s="304">
        <f t="shared" ca="1" si="65"/>
        <v>12.149999999999968</v>
      </c>
      <c r="D149" s="306">
        <f t="shared" ca="1" si="66"/>
        <v>-3.7952615692238201</v>
      </c>
      <c r="E149" s="307">
        <f t="shared" ca="1" si="67"/>
        <v>-30.833266027536645</v>
      </c>
      <c r="F149" s="304">
        <f t="shared" ca="1" si="68"/>
        <v>31.065966978410195</v>
      </c>
      <c r="G149" s="306">
        <f t="shared" ca="1" si="69"/>
        <v>30.181371938594413</v>
      </c>
      <c r="H149" s="307">
        <f t="shared" ca="1" si="70"/>
        <v>167.08695424933487</v>
      </c>
      <c r="I149" s="304">
        <f t="shared" ca="1" si="71"/>
        <v>169.79094643830422</v>
      </c>
      <c r="J149" s="306">
        <f t="shared" ca="1" si="72"/>
        <v>292.67694671174945</v>
      </c>
      <c r="K149" s="307">
        <f t="shared" ca="1" si="73"/>
        <v>2209.6897544473168</v>
      </c>
      <c r="L149" s="304">
        <f t="shared" ca="1" si="58"/>
        <v>2228.9882471753763</v>
      </c>
      <c r="M149" s="306">
        <f t="shared" ca="1" si="74"/>
        <v>1.3920905877008041</v>
      </c>
      <c r="N149" s="304">
        <f t="shared" ca="1" si="75"/>
        <v>79.76091537514246</v>
      </c>
      <c r="P149" s="310">
        <f t="shared" ca="1" si="76"/>
        <v>13</v>
      </c>
      <c r="Q149" s="304">
        <f t="shared" ca="1" si="77"/>
        <v>0</v>
      </c>
      <c r="R149" s="306">
        <f t="shared" ca="1" si="78"/>
        <v>0</v>
      </c>
      <c r="S149" s="307">
        <f t="shared" ca="1" si="79"/>
        <v>1.7842999999999964</v>
      </c>
      <c r="T149" s="304">
        <f t="shared" ca="1" si="59"/>
        <v>17.503982999999966</v>
      </c>
      <c r="U149" s="311">
        <f t="shared" ca="1" si="60"/>
        <v>0</v>
      </c>
      <c r="V149" s="306">
        <f t="shared" ca="1" si="61"/>
        <v>0.98124423581550169</v>
      </c>
      <c r="W149" s="304">
        <f t="shared" ca="1" si="62"/>
        <v>37.972850718819586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2209.6897544473168</v>
      </c>
      <c r="AG149" s="306">
        <f t="shared" ca="1" si="85"/>
        <v>-31.017043150571745</v>
      </c>
      <c r="AH149" s="304">
        <f t="shared" ca="1" si="86"/>
        <v>-21.363092586126282</v>
      </c>
    </row>
    <row r="150" spans="1:34" x14ac:dyDescent="0.2">
      <c r="A150" s="347">
        <f t="shared" ca="1" si="64"/>
        <v>0.01</v>
      </c>
      <c r="B150" s="304">
        <f t="shared" ca="1" si="65"/>
        <v>12.159999999999968</v>
      </c>
      <c r="D150" s="306">
        <f t="shared" ca="1" si="66"/>
        <v>-3.782942800970821</v>
      </c>
      <c r="E150" s="307">
        <f t="shared" ca="1" si="67"/>
        <v>-30.752732225680901</v>
      </c>
      <c r="F150" s="304">
        <f t="shared" ca="1" si="68"/>
        <v>30.984531553338829</v>
      </c>
      <c r="G150" s="306">
        <f t="shared" ca="1" si="69"/>
        <v>30.143542510584705</v>
      </c>
      <c r="H150" s="307">
        <f t="shared" ca="1" si="70"/>
        <v>166.77942692707805</v>
      </c>
      <c r="I150" s="304">
        <f t="shared" ca="1" si="71"/>
        <v>169.48159310441943</v>
      </c>
      <c r="J150" s="306">
        <f t="shared" ca="1" si="72"/>
        <v>292.97857128399534</v>
      </c>
      <c r="K150" s="307">
        <f t="shared" ca="1" si="73"/>
        <v>2211.359086353199</v>
      </c>
      <c r="L150" s="304">
        <f t="shared" ca="1" si="58"/>
        <v>2230.6827322657218</v>
      </c>
      <c r="M150" s="306">
        <f t="shared" ca="1" si="74"/>
        <v>1.3919876982335033</v>
      </c>
      <c r="N150" s="304">
        <f t="shared" ca="1" si="75"/>
        <v>79.755020242909779</v>
      </c>
      <c r="P150" s="310">
        <f t="shared" ca="1" si="76"/>
        <v>13</v>
      </c>
      <c r="Q150" s="304">
        <f t="shared" ca="1" si="77"/>
        <v>0</v>
      </c>
      <c r="R150" s="306">
        <f t="shared" ca="1" si="78"/>
        <v>0</v>
      </c>
      <c r="S150" s="307">
        <f t="shared" ca="1" si="79"/>
        <v>1.7842999999999964</v>
      </c>
      <c r="T150" s="304">
        <f t="shared" ca="1" si="59"/>
        <v>17.503982999999966</v>
      </c>
      <c r="U150" s="311">
        <f t="shared" ca="1" si="60"/>
        <v>0</v>
      </c>
      <c r="V150" s="306">
        <f t="shared" ca="1" si="61"/>
        <v>0.98107842183353433</v>
      </c>
      <c r="W150" s="304">
        <f t="shared" ca="1" si="62"/>
        <v>37.828212864851849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2211.359086353199</v>
      </c>
      <c r="AG150" s="306">
        <f t="shared" ca="1" si="85"/>
        <v>-30.935423097140834</v>
      </c>
      <c r="AH150" s="304">
        <f t="shared" ca="1" si="86"/>
        <v>-21.28165147050365</v>
      </c>
    </row>
    <row r="151" spans="1:34" x14ac:dyDescent="0.2">
      <c r="A151" s="347">
        <f t="shared" ca="1" si="64"/>
        <v>0.01</v>
      </c>
      <c r="B151" s="304">
        <f t="shared" ca="1" si="65"/>
        <v>12.169999999999968</v>
      </c>
      <c r="D151" s="306">
        <f t="shared" ca="1" si="66"/>
        <v>-3.7706802040776464</v>
      </c>
      <c r="E151" s="307">
        <f t="shared" ca="1" si="67"/>
        <v>-30.672573910830941</v>
      </c>
      <c r="F151" s="304">
        <f t="shared" ca="1" si="68"/>
        <v>30.903475848467433</v>
      </c>
      <c r="G151" s="306">
        <f t="shared" ca="1" si="69"/>
        <v>30.105835708543928</v>
      </c>
      <c r="H151" s="307">
        <f t="shared" ca="1" si="70"/>
        <v>166.47270118796973</v>
      </c>
      <c r="I151" s="304">
        <f t="shared" ca="1" si="71"/>
        <v>169.1730521818676</v>
      </c>
      <c r="J151" s="306">
        <f t="shared" ca="1" si="72"/>
        <v>293.27981817509095</v>
      </c>
      <c r="K151" s="307">
        <f t="shared" ca="1" si="73"/>
        <v>2213.0253469937743</v>
      </c>
      <c r="L151" s="304">
        <f t="shared" ca="1" si="58"/>
        <v>2232.3741259443341</v>
      </c>
      <c r="M151" s="306">
        <f t="shared" ca="1" si="74"/>
        <v>1.3918845624017095</v>
      </c>
      <c r="N151" s="304">
        <f t="shared" ca="1" si="75"/>
        <v>79.74911099503143</v>
      </c>
      <c r="P151" s="310">
        <f t="shared" ca="1" si="76"/>
        <v>13</v>
      </c>
      <c r="Q151" s="304">
        <f t="shared" ca="1" si="77"/>
        <v>0</v>
      </c>
      <c r="R151" s="306">
        <f t="shared" ca="1" si="78"/>
        <v>0</v>
      </c>
      <c r="S151" s="307">
        <f t="shared" ca="1" si="79"/>
        <v>1.7842999999999964</v>
      </c>
      <c r="T151" s="304">
        <f t="shared" ca="1" si="59"/>
        <v>17.503982999999966</v>
      </c>
      <c r="U151" s="311">
        <f t="shared" ca="1" si="60"/>
        <v>0</v>
      </c>
      <c r="V151" s="306">
        <f t="shared" ca="1" si="61"/>
        <v>0.98091293777240807</v>
      </c>
      <c r="W151" s="304">
        <f t="shared" ca="1" si="62"/>
        <v>37.684248366166834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2213.0253469937743</v>
      </c>
      <c r="AG151" s="306">
        <f t="shared" ca="1" si="85"/>
        <v>-30.854182229868989</v>
      </c>
      <c r="AH151" s="304">
        <f t="shared" ca="1" si="86"/>
        <v>-21.200590071653828</v>
      </c>
    </row>
    <row r="152" spans="1:34" x14ac:dyDescent="0.2">
      <c r="A152" s="347">
        <f t="shared" ca="1" si="64"/>
        <v>0.01</v>
      </c>
      <c r="B152" s="304">
        <f t="shared" ca="1" si="65"/>
        <v>12.179999999999968</v>
      </c>
      <c r="D152" s="306">
        <f t="shared" ca="1" si="66"/>
        <v>-3.758473430254567</v>
      </c>
      <c r="E152" s="307">
        <f t="shared" ca="1" si="67"/>
        <v>-30.59278877008969</v>
      </c>
      <c r="F152" s="304">
        <f t="shared" ca="1" si="68"/>
        <v>30.822797524839554</v>
      </c>
      <c r="G152" s="306">
        <f t="shared" ca="1" si="69"/>
        <v>30.068250974241383</v>
      </c>
      <c r="H152" s="307">
        <f t="shared" ca="1" si="70"/>
        <v>166.16677330026883</v>
      </c>
      <c r="I152" s="304">
        <f t="shared" ca="1" si="71"/>
        <v>168.86531990220166</v>
      </c>
      <c r="J152" s="306">
        <f t="shared" ca="1" si="72"/>
        <v>293.58068860850489</v>
      </c>
      <c r="K152" s="307">
        <f t="shared" ca="1" si="73"/>
        <v>2214.6885443662154</v>
      </c>
      <c r="L152" s="304">
        <f t="shared" ca="1" si="58"/>
        <v>2234.0624362964413</v>
      </c>
      <c r="M152" s="306">
        <f t="shared" ca="1" si="74"/>
        <v>1.3917811796604582</v>
      </c>
      <c r="N152" s="304">
        <f t="shared" ca="1" si="75"/>
        <v>79.743187600283235</v>
      </c>
      <c r="P152" s="310">
        <f t="shared" ca="1" si="76"/>
        <v>13</v>
      </c>
      <c r="Q152" s="304">
        <f t="shared" ca="1" si="77"/>
        <v>0</v>
      </c>
      <c r="R152" s="306">
        <f t="shared" ca="1" si="78"/>
        <v>0</v>
      </c>
      <c r="S152" s="307">
        <f t="shared" ca="1" si="79"/>
        <v>1.7842999999999964</v>
      </c>
      <c r="T152" s="304">
        <f t="shared" ca="1" si="59"/>
        <v>17.503982999999966</v>
      </c>
      <c r="U152" s="311">
        <f t="shared" ca="1" si="60"/>
        <v>0</v>
      </c>
      <c r="V152" s="306">
        <f t="shared" ca="1" si="61"/>
        <v>0.98074778269518947</v>
      </c>
      <c r="W152" s="304">
        <f t="shared" ca="1" si="62"/>
        <v>37.540953081797916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2214.6885443662154</v>
      </c>
      <c r="AG152" s="306">
        <f t="shared" ca="1" si="85"/>
        <v>-30.773318208146527</v>
      </c>
      <c r="AH152" s="304">
        <f t="shared" ca="1" si="86"/>
        <v>-21.119906050645579</v>
      </c>
    </row>
    <row r="153" spans="1:34" x14ac:dyDescent="0.2">
      <c r="A153" s="347">
        <f t="shared" ca="1" si="64"/>
        <v>0.01</v>
      </c>
      <c r="B153" s="304">
        <f t="shared" ca="1" si="65"/>
        <v>12.189999999999968</v>
      </c>
      <c r="D153" s="306">
        <f t="shared" ca="1" si="66"/>
        <v>-3.7463221339123027</v>
      </c>
      <c r="E153" s="307">
        <f t="shared" ca="1" si="67"/>
        <v>-30.513374508509827</v>
      </c>
      <c r="F153" s="304">
        <f t="shared" ca="1" si="68"/>
        <v>30.742494261650577</v>
      </c>
      <c r="G153" s="306">
        <f t="shared" ca="1" si="69"/>
        <v>30.03078775290226</v>
      </c>
      <c r="H153" s="307">
        <f t="shared" ca="1" si="70"/>
        <v>165.86163955518373</v>
      </c>
      <c r="I153" s="304">
        <f t="shared" ca="1" si="71"/>
        <v>168.55839252019922</v>
      </c>
      <c r="J153" s="306">
        <f t="shared" ca="1" si="72"/>
        <v>293.88118380214058</v>
      </c>
      <c r="K153" s="307">
        <f t="shared" ca="1" si="73"/>
        <v>2216.3486864304928</v>
      </c>
      <c r="L153" s="304">
        <f t="shared" ca="1" si="58"/>
        <v>2235.7476713697183</v>
      </c>
      <c r="M153" s="306">
        <f t="shared" ca="1" si="74"/>
        <v>1.3916775494627471</v>
      </c>
      <c r="N153" s="304">
        <f t="shared" ca="1" si="75"/>
        <v>79.737250027324279</v>
      </c>
      <c r="P153" s="310">
        <f t="shared" ca="1" si="76"/>
        <v>13</v>
      </c>
      <c r="Q153" s="304">
        <f t="shared" ca="1" si="77"/>
        <v>0</v>
      </c>
      <c r="R153" s="306">
        <f t="shared" ca="1" si="78"/>
        <v>0</v>
      </c>
      <c r="S153" s="307">
        <f t="shared" ca="1" si="79"/>
        <v>1.7842999999999964</v>
      </c>
      <c r="T153" s="304">
        <f t="shared" ca="1" si="59"/>
        <v>17.503982999999966</v>
      </c>
      <c r="U153" s="311">
        <f t="shared" ca="1" si="60"/>
        <v>0</v>
      </c>
      <c r="V153" s="306">
        <f t="shared" ca="1" si="61"/>
        <v>0.98058295566942877</v>
      </c>
      <c r="W153" s="304">
        <f t="shared" ca="1" si="62"/>
        <v>37.398322902864805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2216.3486864304928</v>
      </c>
      <c r="AG153" s="306">
        <f t="shared" ca="1" si="85"/>
        <v>-30.69282870950822</v>
      </c>
      <c r="AH153" s="304">
        <f t="shared" ca="1" si="86"/>
        <v>-21.039597086699541</v>
      </c>
    </row>
    <row r="154" spans="1:34" x14ac:dyDescent="0.2">
      <c r="A154" s="347">
        <f t="shared" ca="1" si="64"/>
        <v>0.01</v>
      </c>
      <c r="B154" s="304">
        <f t="shared" ca="1" si="65"/>
        <v>12.199999999999967</v>
      </c>
      <c r="D154" s="306">
        <f t="shared" ca="1" si="66"/>
        <v>-3.7342259721368452</v>
      </c>
      <c r="E154" s="307">
        <f t="shared" ca="1" si="67"/>
        <v>-30.434328848926377</v>
      </c>
      <c r="F154" s="304">
        <f t="shared" ca="1" si="68"/>
        <v>30.662563756078416</v>
      </c>
      <c r="G154" s="306">
        <f t="shared" ca="1" si="69"/>
        <v>29.993445493180893</v>
      </c>
      <c r="H154" s="307">
        <f t="shared" ca="1" si="70"/>
        <v>165.55729626669446</v>
      </c>
      <c r="I154" s="304">
        <f t="shared" ca="1" si="71"/>
        <v>168.25226631368284</v>
      </c>
      <c r="J154" s="306">
        <f t="shared" ca="1" si="72"/>
        <v>294.18130496837102</v>
      </c>
      <c r="K154" s="307">
        <f t="shared" ca="1" si="73"/>
        <v>2218.0057811096021</v>
      </c>
      <c r="L154" s="304">
        <f t="shared" ca="1" si="58"/>
        <v>2237.4298391745178</v>
      </c>
      <c r="M154" s="306">
        <f t="shared" ca="1" si="74"/>
        <v>1.3915736712595286</v>
      </c>
      <c r="N154" s="304">
        <f t="shared" ca="1" si="75"/>
        <v>79.731298244696447</v>
      </c>
      <c r="P154" s="310">
        <f t="shared" ca="1" si="76"/>
        <v>13</v>
      </c>
      <c r="Q154" s="304">
        <f t="shared" ca="1" si="77"/>
        <v>0</v>
      </c>
      <c r="R154" s="306">
        <f t="shared" ca="1" si="78"/>
        <v>0</v>
      </c>
      <c r="S154" s="307">
        <f t="shared" ca="1" si="79"/>
        <v>1.7842999999999964</v>
      </c>
      <c r="T154" s="304">
        <f t="shared" ca="1" si="59"/>
        <v>17.503982999999966</v>
      </c>
      <c r="U154" s="311">
        <f t="shared" ca="1" si="60"/>
        <v>0</v>
      </c>
      <c r="V154" s="306">
        <f t="shared" ca="1" si="61"/>
        <v>0.98041845576713438</v>
      </c>
      <c r="W154" s="304">
        <f t="shared" ca="1" si="62"/>
        <v>37.256353752275039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2218.0057811096021</v>
      </c>
      <c r="AG154" s="306">
        <f t="shared" ca="1" si="85"/>
        <v>-30.61271142946395</v>
      </c>
      <c r="AH154" s="304">
        <f t="shared" ca="1" si="86"/>
        <v>-20.959660877018933</v>
      </c>
    </row>
    <row r="155" spans="1:34" x14ac:dyDescent="0.2">
      <c r="A155" s="347">
        <f t="shared" ca="1" si="64"/>
        <v>0.01</v>
      </c>
      <c r="B155" s="304">
        <f t="shared" ca="1" si="65"/>
        <v>12.209999999999967</v>
      </c>
      <c r="D155" s="306">
        <f t="shared" ca="1" si="66"/>
        <v>-3.7221846046645584</v>
      </c>
      <c r="E155" s="307">
        <f t="shared" ca="1" si="67"/>
        <v>-30.355649531791279</v>
      </c>
      <c r="F155" s="304">
        <f t="shared" ca="1" si="68"/>
        <v>30.583003723116242</v>
      </c>
      <c r="G155" s="306">
        <f t="shared" ca="1" si="69"/>
        <v>29.956223647134248</v>
      </c>
      <c r="H155" s="307">
        <f t="shared" ca="1" si="70"/>
        <v>165.25373977137656</v>
      </c>
      <c r="I155" s="304">
        <f t="shared" ca="1" si="71"/>
        <v>167.94693758334199</v>
      </c>
      <c r="J155" s="306">
        <f t="shared" ca="1" si="72"/>
        <v>294.4810533140726</v>
      </c>
      <c r="K155" s="307">
        <f t="shared" ca="1" si="73"/>
        <v>2219.6598362897926</v>
      </c>
      <c r="L155" s="304">
        <f t="shared" ca="1" si="58"/>
        <v>2239.1089476840993</v>
      </c>
      <c r="M155" s="306">
        <f t="shared" ca="1" si="74"/>
        <v>1.3914695444997016</v>
      </c>
      <c r="N155" s="304">
        <f t="shared" ca="1" si="75"/>
        <v>79.725332220824001</v>
      </c>
      <c r="P155" s="310">
        <f t="shared" ca="1" si="76"/>
        <v>13</v>
      </c>
      <c r="Q155" s="304">
        <f t="shared" ca="1" si="77"/>
        <v>0</v>
      </c>
      <c r="R155" s="306">
        <f t="shared" ca="1" si="78"/>
        <v>0</v>
      </c>
      <c r="S155" s="307">
        <f t="shared" ca="1" si="79"/>
        <v>1.7842999999999964</v>
      </c>
      <c r="T155" s="304">
        <f t="shared" ca="1" si="59"/>
        <v>17.503982999999966</v>
      </c>
      <c r="U155" s="311">
        <f t="shared" ca="1" si="60"/>
        <v>0</v>
      </c>
      <c r="V155" s="306">
        <f t="shared" ca="1" si="61"/>
        <v>0.98025428206474063</v>
      </c>
      <c r="W155" s="304">
        <f t="shared" ca="1" si="62"/>
        <v>37.115041584428404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2219.6598362897926</v>
      </c>
      <c r="AG155" s="306">
        <f t="shared" ca="1" si="85"/>
        <v>-30.532964081331361</v>
      </c>
      <c r="AH155" s="304">
        <f t="shared" ca="1" si="86"/>
        <v>-20.88009513662227</v>
      </c>
    </row>
    <row r="156" spans="1:34" x14ac:dyDescent="0.2">
      <c r="A156" s="347">
        <f t="shared" ca="1" si="64"/>
        <v>0.01</v>
      </c>
      <c r="B156" s="304">
        <f t="shared" ca="1" si="65"/>
        <v>12.219999999999967</v>
      </c>
      <c r="D156" s="306">
        <f t="shared" ca="1" si="66"/>
        <v>-3.710197693857523</v>
      </c>
      <c r="E156" s="307">
        <f t="shared" ca="1" si="67"/>
        <v>-30.277334315009597</v>
      </c>
      <c r="F156" s="304">
        <f t="shared" ca="1" si="68"/>
        <v>30.50381189540683</v>
      </c>
      <c r="G156" s="306">
        <f t="shared" ca="1" si="69"/>
        <v>29.919121670195672</v>
      </c>
      <c r="H156" s="307">
        <f t="shared" ca="1" si="70"/>
        <v>164.95096642822645</v>
      </c>
      <c r="I156" s="304">
        <f t="shared" ca="1" si="71"/>
        <v>167.64240265255643</v>
      </c>
      <c r="J156" s="306">
        <f t="shared" ca="1" si="72"/>
        <v>294.78043004065927</v>
      </c>
      <c r="K156" s="307">
        <f t="shared" ca="1" si="73"/>
        <v>2221.3108598207905</v>
      </c>
      <c r="L156" s="304">
        <f t="shared" ca="1" si="58"/>
        <v>2240.7850048348537</v>
      </c>
      <c r="M156" s="306">
        <f t="shared" ca="1" si="74"/>
        <v>1.3913651686301032</v>
      </c>
      <c r="N156" s="304">
        <f t="shared" ca="1" si="75"/>
        <v>79.719351924012997</v>
      </c>
      <c r="P156" s="310">
        <f t="shared" ca="1" si="76"/>
        <v>13</v>
      </c>
      <c r="Q156" s="304">
        <f t="shared" ca="1" si="77"/>
        <v>0</v>
      </c>
      <c r="R156" s="306">
        <f t="shared" ca="1" si="78"/>
        <v>0</v>
      </c>
      <c r="S156" s="307">
        <f t="shared" ca="1" si="79"/>
        <v>1.7842999999999964</v>
      </c>
      <c r="T156" s="304">
        <f t="shared" ca="1" si="59"/>
        <v>17.503982999999966</v>
      </c>
      <c r="U156" s="311">
        <f t="shared" ca="1" si="60"/>
        <v>0</v>
      </c>
      <c r="V156" s="306">
        <f t="shared" ca="1" si="61"/>
        <v>0.98009043364308401</v>
      </c>
      <c r="W156" s="304">
        <f t="shared" ca="1" si="62"/>
        <v>36.974382384924795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2221.3108598207905</v>
      </c>
      <c r="AG156" s="306">
        <f t="shared" ca="1" si="85"/>
        <v>-30.453584396070227</v>
      </c>
      <c r="AH156" s="304">
        <f t="shared" ca="1" si="86"/>
        <v>-20.800897598177706</v>
      </c>
    </row>
    <row r="157" spans="1:34" x14ac:dyDescent="0.2">
      <c r="A157" s="347">
        <f t="shared" ca="1" si="64"/>
        <v>0.01</v>
      </c>
      <c r="B157" s="304">
        <f t="shared" ca="1" si="65"/>
        <v>12.229999999999967</v>
      </c>
      <c r="D157" s="306">
        <f t="shared" ca="1" si="66"/>
        <v>-3.6982649046791849</v>
      </c>
      <c r="E157" s="307">
        <f t="shared" ca="1" si="67"/>
        <v>-30.1993809737776</v>
      </c>
      <c r="F157" s="304">
        <f t="shared" ca="1" si="68"/>
        <v>30.42498602307883</v>
      </c>
      <c r="G157" s="306">
        <f t="shared" ca="1" si="69"/>
        <v>29.88213902114888</v>
      </c>
      <c r="H157" s="307">
        <f t="shared" ca="1" si="70"/>
        <v>164.64897261848867</v>
      </c>
      <c r="I157" s="304">
        <f t="shared" ca="1" si="71"/>
        <v>167.33865786722177</v>
      </c>
      <c r="J157" s="306">
        <f t="shared" ca="1" si="72"/>
        <v>295.079436344116</v>
      </c>
      <c r="K157" s="307">
        <f t="shared" ca="1" si="73"/>
        <v>2222.9588595160239</v>
      </c>
      <c r="L157" s="304">
        <f t="shared" ca="1" si="58"/>
        <v>2242.4580185265327</v>
      </c>
      <c r="M157" s="306">
        <f t="shared" ca="1" si="74"/>
        <v>1.3912605430955003</v>
      </c>
      <c r="N157" s="304">
        <f t="shared" ca="1" si="75"/>
        <v>79.713357322450946</v>
      </c>
      <c r="P157" s="310">
        <f t="shared" ca="1" si="76"/>
        <v>13</v>
      </c>
      <c r="Q157" s="304">
        <f t="shared" ca="1" si="77"/>
        <v>0</v>
      </c>
      <c r="R157" s="306">
        <f t="shared" ca="1" si="78"/>
        <v>0</v>
      </c>
      <c r="S157" s="307">
        <f t="shared" ca="1" si="79"/>
        <v>1.7842999999999964</v>
      </c>
      <c r="T157" s="304">
        <f t="shared" ca="1" si="59"/>
        <v>17.503982999999966</v>
      </c>
      <c r="U157" s="311">
        <f t="shared" ca="1" si="60"/>
        <v>0</v>
      </c>
      <c r="V157" s="306">
        <f t="shared" ca="1" si="61"/>
        <v>0.97992690958737327</v>
      </c>
      <c r="W157" s="304">
        <f t="shared" ca="1" si="62"/>
        <v>36.83437217027523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2222.9588595160239</v>
      </c>
      <c r="AG157" s="306">
        <f t="shared" ca="1" si="85"/>
        <v>-30.37457012211862</v>
      </c>
      <c r="AH157" s="304">
        <f t="shared" ca="1" si="86"/>
        <v>-20.722066011839303</v>
      </c>
    </row>
    <row r="158" spans="1:34" x14ac:dyDescent="0.2">
      <c r="A158" s="347">
        <f t="shared" ca="1" si="64"/>
        <v>0.01</v>
      </c>
      <c r="B158" s="304">
        <f t="shared" ca="1" si="65"/>
        <v>12.239999999999966</v>
      </c>
      <c r="D158" s="306">
        <f t="shared" ca="1" si="66"/>
        <v>-3.686385904670249</v>
      </c>
      <c r="E158" s="307">
        <f t="shared" ca="1" si="67"/>
        <v>-30.121787300422596</v>
      </c>
      <c r="F158" s="304">
        <f t="shared" ca="1" si="68"/>
        <v>30.346523873584786</v>
      </c>
      <c r="G158" s="306">
        <f t="shared" ca="1" si="69"/>
        <v>29.84527516210218</v>
      </c>
      <c r="H158" s="307">
        <f t="shared" ca="1" si="70"/>
        <v>164.34775474548445</v>
      </c>
      <c r="I158" s="304">
        <f t="shared" ca="1" si="71"/>
        <v>167.03569959557598</v>
      </c>
      <c r="J158" s="306">
        <f t="shared" ca="1" si="72"/>
        <v>295.37807341503225</v>
      </c>
      <c r="K158" s="307">
        <f t="shared" ca="1" si="73"/>
        <v>2224.6038431528436</v>
      </c>
      <c r="L158" s="304">
        <f t="shared" ca="1" si="58"/>
        <v>2244.1279966224693</v>
      </c>
      <c r="M158" s="306">
        <f t="shared" ca="1" si="74"/>
        <v>1.3911556673385823</v>
      </c>
      <c r="N158" s="304">
        <f t="shared" ca="1" si="75"/>
        <v>79.707348384206313</v>
      </c>
      <c r="P158" s="310">
        <f t="shared" ca="1" si="76"/>
        <v>13</v>
      </c>
      <c r="Q158" s="304">
        <f t="shared" ca="1" si="77"/>
        <v>0</v>
      </c>
      <c r="R158" s="306">
        <f t="shared" ca="1" si="78"/>
        <v>0</v>
      </c>
      <c r="S158" s="307">
        <f t="shared" ca="1" si="79"/>
        <v>1.7842999999999964</v>
      </c>
      <c r="T158" s="304">
        <f t="shared" ca="1" si="59"/>
        <v>17.503982999999966</v>
      </c>
      <c r="U158" s="311">
        <f t="shared" ca="1" si="60"/>
        <v>0</v>
      </c>
      <c r="V158" s="306">
        <f t="shared" ca="1" si="61"/>
        <v>0.97976370898716214</v>
      </c>
      <c r="W158" s="304">
        <f t="shared" ca="1" si="62"/>
        <v>36.695006987615805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2224.6038431528436</v>
      </c>
      <c r="AG158" s="306">
        <f t="shared" ca="1" si="85"/>
        <v>-30.295919025230969</v>
      </c>
      <c r="AH158" s="304">
        <f t="shared" ca="1" si="86"/>
        <v>-20.643598145085079</v>
      </c>
    </row>
    <row r="159" spans="1:34" x14ac:dyDescent="0.2">
      <c r="A159" s="347">
        <f t="shared" ca="1" si="64"/>
        <v>0.01</v>
      </c>
      <c r="B159" s="304">
        <f t="shared" ca="1" si="65"/>
        <v>12.249999999999966</v>
      </c>
      <c r="D159" s="306">
        <f t="shared" ca="1" si="66"/>
        <v>-3.6745603639248117</v>
      </c>
      <c r="E159" s="307">
        <f t="shared" ca="1" si="67"/>
        <v>-30.04455110424442</v>
      </c>
      <c r="F159" s="304">
        <f t="shared" ca="1" si="68"/>
        <v>30.268423231540851</v>
      </c>
      <c r="G159" s="306">
        <f t="shared" ca="1" si="69"/>
        <v>29.808529558462933</v>
      </c>
      <c r="H159" s="307">
        <f t="shared" ca="1" si="70"/>
        <v>164.047309234442</v>
      </c>
      <c r="I159" s="304">
        <f t="shared" ca="1" si="71"/>
        <v>166.73352422802799</v>
      </c>
      <c r="J159" s="306">
        <f t="shared" ca="1" si="72"/>
        <v>295.67634243863506</v>
      </c>
      <c r="K159" s="307">
        <f t="shared" ca="1" si="73"/>
        <v>2226.2458184727434</v>
      </c>
      <c r="L159" s="304">
        <f t="shared" ca="1" si="58"/>
        <v>2245.7949469498021</v>
      </c>
      <c r="M159" s="306">
        <f t="shared" ca="1" si="74"/>
        <v>1.3910505407999514</v>
      </c>
      <c r="N159" s="304">
        <f t="shared" ca="1" si="75"/>
        <v>79.701325077227935</v>
      </c>
      <c r="P159" s="310">
        <f t="shared" ca="1" si="76"/>
        <v>13</v>
      </c>
      <c r="Q159" s="304">
        <f t="shared" ca="1" si="77"/>
        <v>0</v>
      </c>
      <c r="R159" s="306">
        <f t="shared" ca="1" si="78"/>
        <v>0</v>
      </c>
      <c r="S159" s="307">
        <f t="shared" ca="1" si="79"/>
        <v>1.7842999999999964</v>
      </c>
      <c r="T159" s="304">
        <f t="shared" ca="1" si="59"/>
        <v>17.503982999999966</v>
      </c>
      <c r="U159" s="311">
        <f t="shared" ca="1" si="60"/>
        <v>0</v>
      </c>
      <c r="V159" s="306">
        <f t="shared" ca="1" si="61"/>
        <v>0.97960083093632377</v>
      </c>
      <c r="W159" s="304">
        <f t="shared" ca="1" si="62"/>
        <v>36.556282914425005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2226.2458184727434</v>
      </c>
      <c r="AG159" s="306">
        <f t="shared" ca="1" si="85"/>
        <v>-30.217628888317655</v>
      </c>
      <c r="AH159" s="304">
        <f t="shared" ca="1" si="86"/>
        <v>-20.565491782556677</v>
      </c>
    </row>
    <row r="160" spans="1:34" x14ac:dyDescent="0.2">
      <c r="A160" s="347">
        <f t="shared" ca="1" si="64"/>
        <v>0.01</v>
      </c>
      <c r="B160" s="304">
        <f t="shared" ca="1" si="65"/>
        <v>12.259999999999966</v>
      </c>
      <c r="D160" s="306">
        <f t="shared" ca="1" si="66"/>
        <v>-3.6627879550668143</v>
      </c>
      <c r="E160" s="307">
        <f t="shared" ca="1" si="67"/>
        <v>-29.967670211358751</v>
      </c>
      <c r="F160" s="304">
        <f t="shared" ca="1" si="68"/>
        <v>30.190681898568325</v>
      </c>
      <c r="G160" s="306">
        <f t="shared" ca="1" si="69"/>
        <v>29.771901678912265</v>
      </c>
      <c r="H160" s="307">
        <f t="shared" ca="1" si="70"/>
        <v>163.7476325323284</v>
      </c>
      <c r="I160" s="304">
        <f t="shared" ca="1" si="71"/>
        <v>166.43212817698773</v>
      </c>
      <c r="J160" s="306">
        <f t="shared" ca="1" si="72"/>
        <v>295.97424459482193</v>
      </c>
      <c r="K160" s="307">
        <f t="shared" ca="1" si="73"/>
        <v>2227.8847931815772</v>
      </c>
      <c r="L160" s="304">
        <f t="shared" ca="1" si="58"/>
        <v>2247.4588772996922</v>
      </c>
      <c r="M160" s="306">
        <f t="shared" ca="1" si="74"/>
        <v>1.3909451629181153</v>
      </c>
      <c r="N160" s="304">
        <f t="shared" ca="1" si="75"/>
        <v>79.695287369344712</v>
      </c>
      <c r="P160" s="310">
        <f t="shared" ca="1" si="76"/>
        <v>13</v>
      </c>
      <c r="Q160" s="304">
        <f t="shared" ca="1" si="77"/>
        <v>0</v>
      </c>
      <c r="R160" s="306">
        <f t="shared" ca="1" si="78"/>
        <v>0</v>
      </c>
      <c r="S160" s="307">
        <f t="shared" ca="1" si="79"/>
        <v>1.7842999999999964</v>
      </c>
      <c r="T160" s="304">
        <f t="shared" ca="1" si="59"/>
        <v>17.503982999999966</v>
      </c>
      <c r="U160" s="311">
        <f t="shared" ca="1" si="60"/>
        <v>0</v>
      </c>
      <c r="V160" s="306">
        <f t="shared" ca="1" si="61"/>
        <v>0.97943827453302246</v>
      </c>
      <c r="W160" s="304">
        <f t="shared" ca="1" si="62"/>
        <v>36.418196058243829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2227.8847931815772</v>
      </c>
      <c r="AG160" s="306">
        <f t="shared" ca="1" si="85"/>
        <v>-30.139697511286577</v>
      </c>
      <c r="AH160" s="304">
        <f t="shared" ca="1" si="86"/>
        <v>-20.487744725900956</v>
      </c>
    </row>
    <row r="161" spans="1:34" x14ac:dyDescent="0.2">
      <c r="A161" s="347">
        <f t="shared" ca="1" si="64"/>
        <v>0.01</v>
      </c>
      <c r="B161" s="304">
        <f t="shared" ca="1" si="65"/>
        <v>12.269999999999966</v>
      </c>
      <c r="D161" s="306">
        <f t="shared" ca="1" si="66"/>
        <v>-3.6510683532266763</v>
      </c>
      <c r="E161" s="307">
        <f t="shared" ca="1" si="67"/>
        <v>-29.891142464542028</v>
      </c>
      <c r="F161" s="304">
        <f t="shared" ca="1" si="68"/>
        <v>30.113297693136847</v>
      </c>
      <c r="G161" s="306">
        <f t="shared" ca="1" si="69"/>
        <v>29.735390995379998</v>
      </c>
      <c r="H161" s="307">
        <f t="shared" ca="1" si="70"/>
        <v>163.44872110768299</v>
      </c>
      <c r="I161" s="304">
        <f t="shared" ca="1" si="71"/>
        <v>166.13150787669767</v>
      </c>
      <c r="J161" s="306">
        <f t="shared" ca="1" si="72"/>
        <v>296.27178105819337</v>
      </c>
      <c r="K161" s="307">
        <f t="shared" ca="1" si="73"/>
        <v>2229.5207749497772</v>
      </c>
      <c r="L161" s="304">
        <f t="shared" ca="1" si="58"/>
        <v>2249.1197954275467</v>
      </c>
      <c r="M161" s="306">
        <f t="shared" ca="1" si="74"/>
        <v>1.3908395331294785</v>
      </c>
      <c r="N161" s="304">
        <f t="shared" ca="1" si="75"/>
        <v>79.689235228264963</v>
      </c>
      <c r="P161" s="310">
        <f t="shared" ca="1" si="76"/>
        <v>13</v>
      </c>
      <c r="Q161" s="304">
        <f t="shared" ca="1" si="77"/>
        <v>0</v>
      </c>
      <c r="R161" s="306">
        <f t="shared" ca="1" si="78"/>
        <v>0</v>
      </c>
      <c r="S161" s="307">
        <f t="shared" ca="1" si="79"/>
        <v>1.7842999999999964</v>
      </c>
      <c r="T161" s="304">
        <f t="shared" ca="1" si="59"/>
        <v>17.503982999999966</v>
      </c>
      <c r="U161" s="311">
        <f t="shared" ca="1" si="60"/>
        <v>0</v>
      </c>
      <c r="V161" s="306">
        <f t="shared" ca="1" si="61"/>
        <v>0.97927603887968662</v>
      </c>
      <c r="W161" s="304">
        <f t="shared" ca="1" si="62"/>
        <v>36.280742556399098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2229.5207749497772</v>
      </c>
      <c r="AG161" s="306">
        <f t="shared" ca="1" si="85"/>
        <v>-30.062122710886271</v>
      </c>
      <c r="AH161" s="304">
        <f t="shared" ca="1" si="86"/>
        <v>-20.410354793613127</v>
      </c>
    </row>
    <row r="162" spans="1:34" x14ac:dyDescent="0.2">
      <c r="A162" s="347">
        <f t="shared" ca="1" si="64"/>
        <v>0.01</v>
      </c>
      <c r="B162" s="304">
        <f t="shared" ca="1" si="65"/>
        <v>12.279999999999966</v>
      </c>
      <c r="D162" s="306">
        <f t="shared" ca="1" si="66"/>
        <v>-3.6394012360182346</v>
      </c>
      <c r="E162" s="307">
        <f t="shared" ca="1" si="67"/>
        <v>-29.814965723078068</v>
      </c>
      <c r="F162" s="304">
        <f t="shared" ca="1" si="68"/>
        <v>30.036268450409267</v>
      </c>
      <c r="G162" s="306">
        <f t="shared" ca="1" si="69"/>
        <v>29.698996983019814</v>
      </c>
      <c r="H162" s="307">
        <f t="shared" ca="1" si="70"/>
        <v>163.15057145045219</v>
      </c>
      <c r="I162" s="304">
        <f t="shared" ca="1" si="71"/>
        <v>165.83165978306593</v>
      </c>
      <c r="J162" s="306">
        <f t="shared" ca="1" si="72"/>
        <v>296.56895299808536</v>
      </c>
      <c r="K162" s="307">
        <f t="shared" ca="1" si="73"/>
        <v>2231.1537714125679</v>
      </c>
      <c r="L162" s="304">
        <f t="shared" ca="1" si="58"/>
        <v>2250.77770905323</v>
      </c>
      <c r="M162" s="306">
        <f t="shared" ca="1" si="74"/>
        <v>1.3907336508683337</v>
      </c>
      <c r="N162" s="304">
        <f t="shared" ca="1" si="75"/>
        <v>79.683168621576058</v>
      </c>
      <c r="P162" s="310">
        <f t="shared" ca="1" si="76"/>
        <v>13</v>
      </c>
      <c r="Q162" s="304">
        <f t="shared" ca="1" si="77"/>
        <v>0</v>
      </c>
      <c r="R162" s="306">
        <f t="shared" ca="1" si="78"/>
        <v>0</v>
      </c>
      <c r="S162" s="307">
        <f t="shared" ca="1" si="79"/>
        <v>1.7842999999999964</v>
      </c>
      <c r="T162" s="304">
        <f t="shared" ca="1" si="59"/>
        <v>17.503982999999966</v>
      </c>
      <c r="U162" s="311">
        <f t="shared" ca="1" si="60"/>
        <v>0</v>
      </c>
      <c r="V162" s="306">
        <f t="shared" ca="1" si="61"/>
        <v>0.97911412308298484</v>
      </c>
      <c r="W162" s="304">
        <f t="shared" ca="1" si="62"/>
        <v>36.143918575729614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2231.1537714125679</v>
      </c>
      <c r="AG162" s="306">
        <f t="shared" ca="1" si="85"/>
        <v>-29.984902320550749</v>
      </c>
      <c r="AH162" s="304">
        <f t="shared" ca="1" si="86"/>
        <v>-20.333319820881673</v>
      </c>
    </row>
    <row r="163" spans="1:34" x14ac:dyDescent="0.2">
      <c r="A163" s="347">
        <f t="shared" ca="1" si="64"/>
        <v>0.01</v>
      </c>
      <c r="B163" s="304">
        <f t="shared" ca="1" si="65"/>
        <v>12.289999999999965</v>
      </c>
      <c r="D163" s="306">
        <f t="shared" ca="1" si="66"/>
        <v>-3.6277862835159023</v>
      </c>
      <c r="E163" s="307">
        <f t="shared" ca="1" si="67"/>
        <v>-29.739137862606349</v>
      </c>
      <c r="F163" s="304">
        <f t="shared" ca="1" si="68"/>
        <v>29.959592022088231</v>
      </c>
      <c r="G163" s="306">
        <f t="shared" ca="1" si="69"/>
        <v>29.662719120184654</v>
      </c>
      <c r="H163" s="307">
        <f t="shared" ca="1" si="70"/>
        <v>162.85318007182613</v>
      </c>
      <c r="I163" s="304">
        <f t="shared" ca="1" si="71"/>
        <v>165.53258037350108</v>
      </c>
      <c r="J163" s="306">
        <f t="shared" ca="1" si="72"/>
        <v>296.86576157860139</v>
      </c>
      <c r="K163" s="307">
        <f t="shared" ca="1" si="73"/>
        <v>2232.7837901701791</v>
      </c>
      <c r="L163" s="304">
        <f t="shared" ca="1" si="58"/>
        <v>2252.4326258612828</v>
      </c>
      <c r="M163" s="306">
        <f t="shared" ca="1" si="74"/>
        <v>1.3906275155668533</v>
      </c>
      <c r="N163" s="304">
        <f t="shared" ca="1" si="75"/>
        <v>79.677087516743882</v>
      </c>
      <c r="P163" s="310">
        <f t="shared" ca="1" si="76"/>
        <v>13</v>
      </c>
      <c r="Q163" s="304">
        <f t="shared" ca="1" si="77"/>
        <v>0</v>
      </c>
      <c r="R163" s="306">
        <f t="shared" ca="1" si="78"/>
        <v>0</v>
      </c>
      <c r="S163" s="307">
        <f t="shared" ca="1" si="79"/>
        <v>1.7842999999999964</v>
      </c>
      <c r="T163" s="304">
        <f t="shared" ca="1" si="59"/>
        <v>17.503982999999966</v>
      </c>
      <c r="U163" s="311">
        <f t="shared" ca="1" si="60"/>
        <v>0</v>
      </c>
      <c r="V163" s="306">
        <f t="shared" ca="1" si="61"/>
        <v>0.97895252625379559</v>
      </c>
      <c r="W163" s="304">
        <f t="shared" ca="1" si="62"/>
        <v>36.00772031231535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2232.7837901701791</v>
      </c>
      <c r="AG163" s="306">
        <f t="shared" ca="1" si="85"/>
        <v>-29.908034190246038</v>
      </c>
      <c r="AH163" s="304">
        <f t="shared" ca="1" si="86"/>
        <v>-20.256637659434897</v>
      </c>
    </row>
    <row r="164" spans="1:34" x14ac:dyDescent="0.2">
      <c r="A164" s="347">
        <f t="shared" ca="1" si="64"/>
        <v>0.01</v>
      </c>
      <c r="B164" s="304">
        <f t="shared" ca="1" si="65"/>
        <v>12.299999999999965</v>
      </c>
      <c r="D164" s="306">
        <f t="shared" ca="1" si="66"/>
        <v>-3.6162231782320893</v>
      </c>
      <c r="E164" s="307">
        <f t="shared" ca="1" si="67"/>
        <v>-29.663656774971876</v>
      </c>
      <c r="F164" s="304">
        <f t="shared" ca="1" si="68"/>
        <v>29.883266276264347</v>
      </c>
      <c r="G164" s="306">
        <f t="shared" ca="1" si="69"/>
        <v>29.626556888402334</v>
      </c>
      <c r="H164" s="307">
        <f t="shared" ca="1" si="70"/>
        <v>162.55654350407642</v>
      </c>
      <c r="I164" s="304">
        <f t="shared" ca="1" si="71"/>
        <v>165.23426614674824</v>
      </c>
      <c r="J164" s="306">
        <f t="shared" ca="1" si="72"/>
        <v>297.16220795864433</v>
      </c>
      <c r="K164" s="307">
        <f t="shared" ca="1" si="73"/>
        <v>2234.4108387880588</v>
      </c>
      <c r="L164" s="304">
        <f t="shared" ca="1" si="58"/>
        <v>2254.0845535011354</v>
      </c>
      <c r="M164" s="306">
        <f t="shared" ca="1" si="74"/>
        <v>1.3905211266550814</v>
      </c>
      <c r="N164" s="304">
        <f t="shared" ca="1" si="75"/>
        <v>79.670991881112371</v>
      </c>
      <c r="P164" s="310">
        <f t="shared" ca="1" si="76"/>
        <v>13</v>
      </c>
      <c r="Q164" s="304">
        <f t="shared" ca="1" si="77"/>
        <v>0</v>
      </c>
      <c r="R164" s="306">
        <f t="shared" ca="1" si="78"/>
        <v>0</v>
      </c>
      <c r="S164" s="307">
        <f t="shared" ca="1" si="79"/>
        <v>1.7842999999999964</v>
      </c>
      <c r="T164" s="304">
        <f t="shared" ca="1" si="59"/>
        <v>17.503982999999966</v>
      </c>
      <c r="U164" s="311">
        <f t="shared" ca="1" si="60"/>
        <v>0</v>
      </c>
      <c r="V164" s="306">
        <f t="shared" ca="1" si="61"/>
        <v>0.97879124750718449</v>
      </c>
      <c r="W164" s="304">
        <f t="shared" ca="1" si="62"/>
        <v>35.872143991209462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2234.4108387880588</v>
      </c>
      <c r="AG164" s="306">
        <f t="shared" ca="1" si="85"/>
        <v>-29.831516186318346</v>
      </c>
      <c r="AH164" s="304">
        <f t="shared" ca="1" si="86"/>
        <v>-20.180306177389127</v>
      </c>
    </row>
    <row r="165" spans="1:34" x14ac:dyDescent="0.2">
      <c r="A165" s="347">
        <f t="shared" ca="1" si="64"/>
        <v>0.01</v>
      </c>
      <c r="B165" s="304">
        <f t="shared" ca="1" si="65"/>
        <v>12.309999999999965</v>
      </c>
      <c r="D165" s="306">
        <f t="shared" ca="1" si="66"/>
        <v>-3.6047116050948418</v>
      </c>
      <c r="E165" s="307">
        <f t="shared" ca="1" si="67"/>
        <v>-29.588520368076715</v>
      </c>
      <c r="F165" s="304">
        <f t="shared" ca="1" si="68"/>
        <v>29.807289097266057</v>
      </c>
      <c r="G165" s="306">
        <f t="shared" ca="1" si="69"/>
        <v>29.590509772351385</v>
      </c>
      <c r="H165" s="307">
        <f t="shared" ca="1" si="70"/>
        <v>162.26065830039565</v>
      </c>
      <c r="I165" s="304">
        <f t="shared" ca="1" si="71"/>
        <v>164.93671362272676</v>
      </c>
      <c r="J165" s="306">
        <f t="shared" ca="1" si="72"/>
        <v>297.45829329194811</v>
      </c>
      <c r="K165" s="307">
        <f t="shared" ca="1" si="73"/>
        <v>2236.0349247970812</v>
      </c>
      <c r="L165" s="304">
        <f t="shared" ca="1" si="58"/>
        <v>2255.733499587318</v>
      </c>
      <c r="M165" s="306">
        <f t="shared" ca="1" si="74"/>
        <v>1.3904144835609249</v>
      </c>
      <c r="N165" s="304">
        <f t="shared" ca="1" si="75"/>
        <v>79.664881681902983</v>
      </c>
      <c r="P165" s="310">
        <f t="shared" ca="1" si="76"/>
        <v>13</v>
      </c>
      <c r="Q165" s="304">
        <f t="shared" ca="1" si="77"/>
        <v>0</v>
      </c>
      <c r="R165" s="306">
        <f t="shared" ca="1" si="78"/>
        <v>0</v>
      </c>
      <c r="S165" s="307">
        <f t="shared" ca="1" si="79"/>
        <v>1.7842999999999964</v>
      </c>
      <c r="T165" s="304">
        <f t="shared" ca="1" si="59"/>
        <v>17.503982999999966</v>
      </c>
      <c r="U165" s="311">
        <f t="shared" ca="1" si="60"/>
        <v>0</v>
      </c>
      <c r="V165" s="306">
        <f t="shared" ca="1" si="61"/>
        <v>0.97863028596237744</v>
      </c>
      <c r="W165" s="304">
        <f t="shared" ca="1" si="62"/>
        <v>35.73718586617327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2236.0349247970812</v>
      </c>
      <c r="AG165" s="306">
        <f t="shared" ca="1" si="85"/>
        <v>-29.755346191343843</v>
      </c>
      <c r="AH165" s="304">
        <f t="shared" ca="1" si="86"/>
        <v>-20.104323259098546</v>
      </c>
    </row>
    <row r="166" spans="1:34" x14ac:dyDescent="0.2">
      <c r="A166" s="347">
        <f t="shared" ca="1" si="64"/>
        <v>0.01</v>
      </c>
      <c r="B166" s="304">
        <f t="shared" ca="1" si="65"/>
        <v>12.319999999999965</v>
      </c>
      <c r="D166" s="306">
        <f t="shared" ca="1" si="66"/>
        <v>-3.5932512514257517</v>
      </c>
      <c r="E166" s="307">
        <f t="shared" ca="1" si="67"/>
        <v>-29.513726565733045</v>
      </c>
      <c r="F166" s="304">
        <f t="shared" ca="1" si="68"/>
        <v>29.731658385511043</v>
      </c>
      <c r="G166" s="306">
        <f t="shared" ca="1" si="69"/>
        <v>29.554577259837128</v>
      </c>
      <c r="H166" s="307">
        <f t="shared" ca="1" si="70"/>
        <v>161.96552103473832</v>
      </c>
      <c r="I166" s="304">
        <f t="shared" ca="1" si="71"/>
        <v>164.63991934236952</v>
      </c>
      <c r="J166" s="306">
        <f t="shared" ca="1" si="72"/>
        <v>297.75401872710904</v>
      </c>
      <c r="K166" s="307">
        <f t="shared" ca="1" si="73"/>
        <v>2237.656055693757</v>
      </c>
      <c r="L166" s="304">
        <f t="shared" ca="1" si="58"/>
        <v>2257.3794716996713</v>
      </c>
      <c r="M166" s="306">
        <f t="shared" ca="1" si="74"/>
        <v>1.3903075857101443</v>
      </c>
      <c r="N166" s="304">
        <f t="shared" ca="1" si="75"/>
        <v>79.658756886214235</v>
      </c>
      <c r="P166" s="310">
        <f t="shared" ca="1" si="76"/>
        <v>13</v>
      </c>
      <c r="Q166" s="304">
        <f t="shared" ca="1" si="77"/>
        <v>0</v>
      </c>
      <c r="R166" s="306">
        <f t="shared" ca="1" si="78"/>
        <v>0</v>
      </c>
      <c r="S166" s="307">
        <f t="shared" ca="1" si="79"/>
        <v>1.7842999999999964</v>
      </c>
      <c r="T166" s="304">
        <f t="shared" ca="1" si="59"/>
        <v>17.503982999999966</v>
      </c>
      <c r="U166" s="311">
        <f t="shared" ca="1" si="60"/>
        <v>0</v>
      </c>
      <c r="V166" s="306">
        <f t="shared" ca="1" si="61"/>
        <v>0.97846964074273357</v>
      </c>
      <c r="W166" s="304">
        <f t="shared" ca="1" si="62"/>
        <v>35.602842219413958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2237.656055693757</v>
      </c>
      <c r="AG166" s="306">
        <f t="shared" ca="1" si="85"/>
        <v>-29.679522103980055</v>
      </c>
      <c r="AH166" s="304">
        <f t="shared" ca="1" si="86"/>
        <v>-20.028686805006636</v>
      </c>
    </row>
    <row r="167" spans="1:34" x14ac:dyDescent="0.2">
      <c r="A167" s="347">
        <f t="shared" ca="1" si="64"/>
        <v>0.01</v>
      </c>
      <c r="B167" s="304">
        <f t="shared" ca="1" si="65"/>
        <v>12.329999999999965</v>
      </c>
      <c r="D167" s="306">
        <f t="shared" ca="1" si="66"/>
        <v>-3.5818418069180833</v>
      </c>
      <c r="E167" s="307">
        <f t="shared" ca="1" si="67"/>
        <v>-29.43927330751788</v>
      </c>
      <c r="F167" s="304">
        <f t="shared" ca="1" si="68"/>
        <v>29.656372057359292</v>
      </c>
      <c r="G167" s="306">
        <f t="shared" ca="1" si="69"/>
        <v>29.518758841767948</v>
      </c>
      <c r="H167" s="307">
        <f t="shared" ca="1" si="70"/>
        <v>161.67112830166315</v>
      </c>
      <c r="I167" s="304">
        <f t="shared" ca="1" si="71"/>
        <v>164.3438798674635</v>
      </c>
      <c r="J167" s="306">
        <f t="shared" ca="1" si="72"/>
        <v>298.04938540761708</v>
      </c>
      <c r="K167" s="307">
        <f t="shared" ca="1" si="73"/>
        <v>2239.2742389404389</v>
      </c>
      <c r="L167" s="304">
        <f t="shared" ca="1" si="58"/>
        <v>2259.0224773835562</v>
      </c>
      <c r="M167" s="306">
        <f t="shared" ca="1" si="74"/>
        <v>1.3902004325263466</v>
      </c>
      <c r="N167" s="304">
        <f t="shared" ca="1" si="75"/>
        <v>79.652617461021237</v>
      </c>
      <c r="P167" s="310">
        <f t="shared" ca="1" si="76"/>
        <v>13</v>
      </c>
      <c r="Q167" s="304">
        <f t="shared" ca="1" si="77"/>
        <v>0</v>
      </c>
      <c r="R167" s="306">
        <f t="shared" ca="1" si="78"/>
        <v>0</v>
      </c>
      <c r="S167" s="307">
        <f t="shared" ca="1" si="79"/>
        <v>1.7842999999999964</v>
      </c>
      <c r="T167" s="304">
        <f t="shared" ca="1" si="59"/>
        <v>17.503982999999966</v>
      </c>
      <c r="U167" s="311">
        <f t="shared" ca="1" si="60"/>
        <v>0</v>
      </c>
      <c r="V167" s="306">
        <f t="shared" ca="1" si="61"/>
        <v>0.97830931097572293</v>
      </c>
      <c r="W167" s="304">
        <f t="shared" ca="1" si="62"/>
        <v>35.469109361325216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2239.2742389404389</v>
      </c>
      <c r="AG167" s="306">
        <f t="shared" ca="1" si="85"/>
        <v>-29.604041838818876</v>
      </c>
      <c r="AH167" s="304">
        <f t="shared" ca="1" si="86"/>
        <v>-19.953394731499202</v>
      </c>
    </row>
    <row r="168" spans="1:34" x14ac:dyDescent="0.2">
      <c r="A168" s="347">
        <f t="shared" ca="1" si="64"/>
        <v>0.01</v>
      </c>
      <c r="B168" s="304">
        <f t="shared" ca="1" si="65"/>
        <v>12.339999999999964</v>
      </c>
      <c r="D168" s="306">
        <f t="shared" ca="1" si="66"/>
        <v>-3.5704829636151283</v>
      </c>
      <c r="E168" s="307">
        <f t="shared" ca="1" si="67"/>
        <v>-29.36515854862926</v>
      </c>
      <c r="F168" s="304">
        <f t="shared" ca="1" si="68"/>
        <v>29.581428044967673</v>
      </c>
      <c r="G168" s="306">
        <f t="shared" ca="1" si="69"/>
        <v>29.483054012131795</v>
      </c>
      <c r="H168" s="307">
        <f t="shared" ca="1" si="70"/>
        <v>161.37747671617686</v>
      </c>
      <c r="I168" s="304">
        <f t="shared" ca="1" si="71"/>
        <v>164.04859178049193</v>
      </c>
      <c r="J168" s="306">
        <f t="shared" ca="1" si="72"/>
        <v>298.34439447188657</v>
      </c>
      <c r="K168" s="307">
        <f t="shared" ca="1" si="73"/>
        <v>2240.8894819655279</v>
      </c>
      <c r="L168" s="304">
        <f t="shared" ca="1" si="58"/>
        <v>2260.6625241500615</v>
      </c>
      <c r="M168" s="306">
        <f t="shared" ca="1" si="74"/>
        <v>1.3900930234309747</v>
      </c>
      <c r="N168" s="304">
        <f t="shared" ca="1" si="75"/>
        <v>79.646463373175109</v>
      </c>
      <c r="P168" s="310">
        <f t="shared" ca="1" si="76"/>
        <v>13</v>
      </c>
      <c r="Q168" s="304">
        <f t="shared" ca="1" si="77"/>
        <v>0</v>
      </c>
      <c r="R168" s="306">
        <f t="shared" ca="1" si="78"/>
        <v>0</v>
      </c>
      <c r="S168" s="307">
        <f t="shared" ca="1" si="79"/>
        <v>1.7842999999999964</v>
      </c>
      <c r="T168" s="304">
        <f t="shared" ca="1" si="59"/>
        <v>17.503982999999966</v>
      </c>
      <c r="U168" s="311">
        <f t="shared" ca="1" si="60"/>
        <v>0</v>
      </c>
      <c r="V168" s="306">
        <f t="shared" ca="1" si="61"/>
        <v>0.97814929579289689</v>
      </c>
      <c r="W168" s="304">
        <f t="shared" ca="1" si="62"/>
        <v>35.335983630230423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2240.8894819655279</v>
      </c>
      <c r="AG168" s="306">
        <f t="shared" ca="1" si="85"/>
        <v>-29.528903326241135</v>
      </c>
      <c r="AH168" s="304">
        <f t="shared" ca="1" si="86"/>
        <v>-19.878444970759002</v>
      </c>
    </row>
    <row r="169" spans="1:34" x14ac:dyDescent="0.2">
      <c r="A169" s="347">
        <f t="shared" ca="1" si="64"/>
        <v>0.01</v>
      </c>
      <c r="B169" s="304">
        <f t="shared" ca="1" si="65"/>
        <v>12.349999999999964</v>
      </c>
      <c r="D169" s="306">
        <f t="shared" ca="1" si="66"/>
        <v>-3.5591744158888097</v>
      </c>
      <c r="E169" s="307">
        <f t="shared" ca="1" si="67"/>
        <v>-29.291380259743946</v>
      </c>
      <c r="F169" s="304">
        <f t="shared" ca="1" si="68"/>
        <v>29.50682429614605</v>
      </c>
      <c r="G169" s="306">
        <f t="shared" ca="1" si="69"/>
        <v>29.447462267972906</v>
      </c>
      <c r="H169" s="307">
        <f t="shared" ca="1" si="70"/>
        <v>161.08456291357942</v>
      </c>
      <c r="I169" s="304">
        <f t="shared" ca="1" si="71"/>
        <v>163.75405168447776</v>
      </c>
      <c r="J169" s="306">
        <f t="shared" ca="1" si="72"/>
        <v>298.63904705328707</v>
      </c>
      <c r="K169" s="307">
        <f t="shared" ca="1" si="73"/>
        <v>2242.5017921636768</v>
      </c>
      <c r="L169" s="304">
        <f t="shared" ca="1" si="58"/>
        <v>2262.2996194762086</v>
      </c>
      <c r="M169" s="306">
        <f t="shared" ca="1" si="74"/>
        <v>1.3899853578433001</v>
      </c>
      <c r="N169" s="304">
        <f t="shared" ca="1" si="75"/>
        <v>79.640294589402558</v>
      </c>
      <c r="P169" s="310">
        <f t="shared" ca="1" si="76"/>
        <v>13</v>
      </c>
      <c r="Q169" s="304">
        <f t="shared" ca="1" si="77"/>
        <v>0</v>
      </c>
      <c r="R169" s="306">
        <f t="shared" ca="1" si="78"/>
        <v>0</v>
      </c>
      <c r="S169" s="307">
        <f t="shared" ca="1" si="79"/>
        <v>1.7842999999999964</v>
      </c>
      <c r="T169" s="304">
        <f t="shared" ca="1" si="59"/>
        <v>17.503982999999966</v>
      </c>
      <c r="U169" s="311">
        <f t="shared" ca="1" si="60"/>
        <v>0</v>
      </c>
      <c r="V169" s="306">
        <f t="shared" ca="1" si="61"/>
        <v>0.97798959432986721</v>
      </c>
      <c r="W169" s="304">
        <f t="shared" ca="1" si="62"/>
        <v>35.203461392128787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2242.5017921636768</v>
      </c>
      <c r="AG169" s="306">
        <f t="shared" ca="1" si="85"/>
        <v>-29.454104512272632</v>
      </c>
      <c r="AH169" s="304">
        <f t="shared" ca="1" si="86"/>
        <v>-19.803835470621809</v>
      </c>
    </row>
    <row r="170" spans="1:34" x14ac:dyDescent="0.2">
      <c r="A170" s="347">
        <f t="shared" ca="1" si="64"/>
        <v>0.01</v>
      </c>
      <c r="B170" s="304">
        <f t="shared" ca="1" si="65"/>
        <v>12.359999999999964</v>
      </c>
      <c r="D170" s="306">
        <f t="shared" ca="1" si="66"/>
        <v>-3.5479158604184948</v>
      </c>
      <c r="E170" s="307">
        <f t="shared" ca="1" si="67"/>
        <v>-29.21793642687674</v>
      </c>
      <c r="F170" s="304">
        <f t="shared" ca="1" si="68"/>
        <v>29.432558774214989</v>
      </c>
      <c r="G170" s="306">
        <f t="shared" ca="1" si="69"/>
        <v>29.41198310936872</v>
      </c>
      <c r="H170" s="307">
        <f t="shared" ca="1" si="70"/>
        <v>160.79238354931064</v>
      </c>
      <c r="I170" s="304">
        <f t="shared" ca="1" si="71"/>
        <v>163.46025620282876</v>
      </c>
      <c r="J170" s="306">
        <f t="shared" ca="1" si="72"/>
        <v>298.9333442801738</v>
      </c>
      <c r="K170" s="307">
        <f t="shared" ca="1" si="73"/>
        <v>2244.1111768959913</v>
      </c>
      <c r="L170" s="304">
        <f t="shared" ca="1" si="58"/>
        <v>2263.933770805153</v>
      </c>
      <c r="M170" s="306">
        <f t="shared" ca="1" si="74"/>
        <v>1.3898774351804133</v>
      </c>
      <c r="N170" s="304">
        <f t="shared" ca="1" si="75"/>
        <v>79.634111076305331</v>
      </c>
      <c r="P170" s="310">
        <f t="shared" ca="1" si="76"/>
        <v>13</v>
      </c>
      <c r="Q170" s="304">
        <f t="shared" ca="1" si="77"/>
        <v>0</v>
      </c>
      <c r="R170" s="306">
        <f t="shared" ca="1" si="78"/>
        <v>0</v>
      </c>
      <c r="S170" s="307">
        <f t="shared" ca="1" si="79"/>
        <v>1.7842999999999964</v>
      </c>
      <c r="T170" s="304">
        <f t="shared" ca="1" si="59"/>
        <v>17.503982999999966</v>
      </c>
      <c r="U170" s="311">
        <f t="shared" ca="1" si="60"/>
        <v>0</v>
      </c>
      <c r="V170" s="306">
        <f t="shared" ca="1" si="61"/>
        <v>0.9778302057262781</v>
      </c>
      <c r="W170" s="304">
        <f t="shared" ca="1" si="62"/>
        <v>35.071539040444108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2244.1111768959913</v>
      </c>
      <c r="AG170" s="306">
        <f t="shared" ca="1" si="85"/>
        <v>-29.379643358441822</v>
      </c>
      <c r="AH170" s="304">
        <f t="shared" ca="1" si="86"/>
        <v>-19.72956419443415</v>
      </c>
    </row>
    <row r="171" spans="1:34" x14ac:dyDescent="0.2">
      <c r="A171" s="347">
        <f t="shared" ca="1" si="64"/>
        <v>0.01</v>
      </c>
      <c r="B171" s="304">
        <f t="shared" ca="1" si="65"/>
        <v>12.369999999999964</v>
      </c>
      <c r="D171" s="306">
        <f t="shared" ca="1" si="66"/>
        <v>-3.5367069961700555</v>
      </c>
      <c r="E171" s="307">
        <f t="shared" ca="1" si="67"/>
        <v>-29.144825051241227</v>
      </c>
      <c r="F171" s="304">
        <f t="shared" ca="1" si="68"/>
        <v>29.358629457864964</v>
      </c>
      <c r="G171" s="306">
        <f t="shared" ca="1" si="69"/>
        <v>29.376616039407018</v>
      </c>
      <c r="H171" s="307">
        <f t="shared" ca="1" si="70"/>
        <v>160.50093529879823</v>
      </c>
      <c r="I171" s="304">
        <f t="shared" ca="1" si="71"/>
        <v>163.1672019791838</v>
      </c>
      <c r="J171" s="306">
        <f t="shared" ca="1" si="72"/>
        <v>299.22728727591766</v>
      </c>
      <c r="K171" s="307">
        <f t="shared" ca="1" si="73"/>
        <v>2245.7176434902317</v>
      </c>
      <c r="L171" s="304">
        <f t="shared" ca="1" si="58"/>
        <v>2265.5649855463921</v>
      </c>
      <c r="M171" s="306">
        <f t="shared" ca="1" si="74"/>
        <v>1.3897692548572154</v>
      </c>
      <c r="N171" s="304">
        <f t="shared" ca="1" si="75"/>
        <v>79.627912800359724</v>
      </c>
      <c r="P171" s="310">
        <f t="shared" ca="1" si="76"/>
        <v>13</v>
      </c>
      <c r="Q171" s="304">
        <f t="shared" ca="1" si="77"/>
        <v>0</v>
      </c>
      <c r="R171" s="306">
        <f t="shared" ca="1" si="78"/>
        <v>0</v>
      </c>
      <c r="S171" s="307">
        <f t="shared" ca="1" si="79"/>
        <v>1.7842999999999964</v>
      </c>
      <c r="T171" s="304">
        <f t="shared" ca="1" si="59"/>
        <v>17.503982999999966</v>
      </c>
      <c r="U171" s="311">
        <f t="shared" ca="1" si="60"/>
        <v>0</v>
      </c>
      <c r="V171" s="306">
        <f t="shared" ca="1" si="61"/>
        <v>0.97767112912578391</v>
      </c>
      <c r="W171" s="304">
        <f t="shared" ca="1" si="62"/>
        <v>34.940212995776115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2245.7176434902317</v>
      </c>
      <c r="AG171" s="306">
        <f t="shared" ca="1" si="85"/>
        <v>-29.305517841638981</v>
      </c>
      <c r="AH171" s="304">
        <f t="shared" ca="1" si="86"/>
        <v>-19.655629120912501</v>
      </c>
    </row>
    <row r="172" spans="1:34" x14ac:dyDescent="0.2">
      <c r="A172" s="347">
        <f t="shared" ca="1" si="64"/>
        <v>0.01</v>
      </c>
      <c r="B172" s="304">
        <f t="shared" ca="1" si="65"/>
        <v>12.379999999999963</v>
      </c>
      <c r="D172" s="306">
        <f t="shared" ca="1" si="66"/>
        <v>-3.5255475243751198</v>
      </c>
      <c r="E172" s="307">
        <f t="shared" ca="1" si="67"/>
        <v>-29.072044149111996</v>
      </c>
      <c r="F172" s="304">
        <f t="shared" ca="1" si="68"/>
        <v>29.285034341016992</v>
      </c>
      <c r="G172" s="306">
        <f t="shared" ca="1" si="69"/>
        <v>29.341360564163267</v>
      </c>
      <c r="H172" s="307">
        <f t="shared" ca="1" si="70"/>
        <v>160.21021485730711</v>
      </c>
      <c r="I172" s="304">
        <f t="shared" ca="1" si="71"/>
        <v>162.87488567726069</v>
      </c>
      <c r="J172" s="306">
        <f t="shared" ca="1" si="72"/>
        <v>299.52087715893549</v>
      </c>
      <c r="K172" s="307">
        <f t="shared" ca="1" si="73"/>
        <v>2247.3211992410124</v>
      </c>
      <c r="L172" s="304">
        <f t="shared" ca="1" si="58"/>
        <v>2267.193271075962</v>
      </c>
      <c r="M172" s="306">
        <f t="shared" ca="1" si="74"/>
        <v>1.389660816286409</v>
      </c>
      <c r="N172" s="304">
        <f t="shared" ca="1" si="75"/>
        <v>79.621699727916095</v>
      </c>
      <c r="P172" s="310">
        <f t="shared" ca="1" si="76"/>
        <v>13</v>
      </c>
      <c r="Q172" s="304">
        <f t="shared" ca="1" si="77"/>
        <v>0</v>
      </c>
      <c r="R172" s="306">
        <f t="shared" ca="1" si="78"/>
        <v>0</v>
      </c>
      <c r="S172" s="307">
        <f t="shared" ca="1" si="79"/>
        <v>1.7842999999999964</v>
      </c>
      <c r="T172" s="304">
        <f t="shared" ca="1" si="59"/>
        <v>17.503982999999966</v>
      </c>
      <c r="U172" s="311">
        <f t="shared" ca="1" si="60"/>
        <v>0</v>
      </c>
      <c r="V172" s="306">
        <f t="shared" ca="1" si="61"/>
        <v>0.97751236367602212</v>
      </c>
      <c r="W172" s="304">
        <f t="shared" ca="1" si="62"/>
        <v>34.809479705654525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2247.3211992410124</v>
      </c>
      <c r="AG172" s="306">
        <f t="shared" ca="1" si="85"/>
        <v>-29.231725953976785</v>
      </c>
      <c r="AH172" s="304">
        <f t="shared" ca="1" si="86"/>
        <v>-19.582028244003915</v>
      </c>
    </row>
    <row r="173" spans="1:34" x14ac:dyDescent="0.2">
      <c r="A173" s="347">
        <f t="shared" ca="1" si="64"/>
        <v>0.01</v>
      </c>
      <c r="B173" s="304">
        <f t="shared" ca="1" si="65"/>
        <v>12.389999999999963</v>
      </c>
      <c r="D173" s="306">
        <f t="shared" ca="1" si="66"/>
        <v>-3.5144371485105643</v>
      </c>
      <c r="E173" s="307">
        <f t="shared" ca="1" si="67"/>
        <v>-28.999591751688286</v>
      </c>
      <c r="F173" s="304">
        <f t="shared" ca="1" si="68"/>
        <v>29.211771432684777</v>
      </c>
      <c r="G173" s="306">
        <f t="shared" ca="1" si="69"/>
        <v>29.306216192678161</v>
      </c>
      <c r="H173" s="307">
        <f t="shared" ca="1" si="70"/>
        <v>159.92021893979023</v>
      </c>
      <c r="I173" s="304">
        <f t="shared" ca="1" si="71"/>
        <v>162.58330398070532</v>
      </c>
      <c r="J173" s="306">
        <f t="shared" ca="1" si="72"/>
        <v>299.81411504271972</v>
      </c>
      <c r="K173" s="307">
        <f t="shared" ca="1" si="73"/>
        <v>2248.921851409998</v>
      </c>
      <c r="L173" s="304">
        <f t="shared" ca="1" si="58"/>
        <v>2268.8186347366382</v>
      </c>
      <c r="M173" s="306">
        <f t="shared" ca="1" si="74"/>
        <v>1.3895521188784894</v>
      </c>
      <c r="N173" s="304">
        <f t="shared" ca="1" si="75"/>
        <v>79.615471825198284</v>
      </c>
      <c r="P173" s="310">
        <f t="shared" ca="1" si="76"/>
        <v>13</v>
      </c>
      <c r="Q173" s="304">
        <f t="shared" ca="1" si="77"/>
        <v>0</v>
      </c>
      <c r="R173" s="306">
        <f t="shared" ca="1" si="78"/>
        <v>0</v>
      </c>
      <c r="S173" s="307">
        <f t="shared" ca="1" si="79"/>
        <v>1.7842999999999964</v>
      </c>
      <c r="T173" s="304">
        <f t="shared" ca="1" si="59"/>
        <v>17.503982999999966</v>
      </c>
      <c r="U173" s="311">
        <f t="shared" ca="1" si="60"/>
        <v>0</v>
      </c>
      <c r="V173" s="306">
        <f t="shared" ca="1" si="61"/>
        <v>0.97735390852859161</v>
      </c>
      <c r="W173" s="304">
        <f t="shared" ca="1" si="62"/>
        <v>34.679335644295783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2248.921851409998</v>
      </c>
      <c r="AG173" s="306">
        <f t="shared" ca="1" si="85"/>
        <v>-29.15826570265245</v>
      </c>
      <c r="AH173" s="304">
        <f t="shared" ca="1" si="86"/>
        <v>-19.50875957274819</v>
      </c>
    </row>
    <row r="174" spans="1:34" x14ac:dyDescent="0.2">
      <c r="A174" s="347">
        <f t="shared" ca="1" si="64"/>
        <v>0.01</v>
      </c>
      <c r="B174" s="304">
        <f t="shared" ca="1" si="65"/>
        <v>12.399999999999963</v>
      </c>
      <c r="D174" s="306">
        <f t="shared" ca="1" si="66"/>
        <v>-3.503375574278238</v>
      </c>
      <c r="E174" s="307">
        <f t="shared" ca="1" si="67"/>
        <v>-28.927465904959234</v>
      </c>
      <c r="F174" s="304">
        <f t="shared" ca="1" si="68"/>
        <v>29.13883875683841</v>
      </c>
      <c r="G174" s="306">
        <f t="shared" ca="1" si="69"/>
        <v>29.27118243693538</v>
      </c>
      <c r="H174" s="307">
        <f t="shared" ca="1" si="70"/>
        <v>159.63094428074064</v>
      </c>
      <c r="I174" s="304">
        <f t="shared" ca="1" si="71"/>
        <v>162.29245359294214</v>
      </c>
      <c r="J174" s="306">
        <f t="shared" ca="1" si="72"/>
        <v>300.10700203586777</v>
      </c>
      <c r="K174" s="307">
        <f t="shared" ca="1" si="73"/>
        <v>2250.5196072261006</v>
      </c>
      <c r="L174" s="304">
        <f t="shared" ca="1" si="58"/>
        <v>2270.4410838381336</v>
      </c>
      <c r="M174" s="306">
        <f t="shared" ca="1" si="74"/>
        <v>1.3894431620417356</v>
      </c>
      <c r="N174" s="304">
        <f t="shared" ca="1" si="75"/>
        <v>79.6092290583032</v>
      </c>
      <c r="P174" s="310">
        <f t="shared" ca="1" si="76"/>
        <v>13</v>
      </c>
      <c r="Q174" s="304">
        <f t="shared" ca="1" si="77"/>
        <v>0</v>
      </c>
      <c r="R174" s="306">
        <f t="shared" ca="1" si="78"/>
        <v>0</v>
      </c>
      <c r="S174" s="307">
        <f t="shared" ca="1" si="79"/>
        <v>1.7842999999999964</v>
      </c>
      <c r="T174" s="304">
        <f t="shared" ca="1" si="59"/>
        <v>17.503982999999966</v>
      </c>
      <c r="U174" s="311">
        <f t="shared" ca="1" si="60"/>
        <v>0</v>
      </c>
      <c r="V174" s="306">
        <f t="shared" ca="1" si="61"/>
        <v>0.97719576283902643</v>
      </c>
      <c r="W174" s="304">
        <f t="shared" ca="1" si="62"/>
        <v>34.549777312362089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2250.5196072261006</v>
      </c>
      <c r="AG174" s="306">
        <f t="shared" ca="1" si="85"/>
        <v>-29.085135109811347</v>
      </c>
      <c r="AH174" s="304">
        <f t="shared" ca="1" si="86"/>
        <v>-19.435821131141541</v>
      </c>
    </row>
    <row r="175" spans="1:34" x14ac:dyDescent="0.2">
      <c r="A175" s="347">
        <f t="shared" ca="1" si="64"/>
        <v>0.01</v>
      </c>
      <c r="B175" s="304">
        <f t="shared" ca="1" si="65"/>
        <v>12.409999999999963</v>
      </c>
      <c r="D175" s="306">
        <f t="shared" ca="1" si="66"/>
        <v>-3.4923625095848476</v>
      </c>
      <c r="E175" s="307">
        <f t="shared" ca="1" si="67"/>
        <v>-28.855664669570274</v>
      </c>
      <c r="F175" s="304">
        <f t="shared" ca="1" si="68"/>
        <v>29.066234352269298</v>
      </c>
      <c r="G175" s="306">
        <f t="shared" ca="1" si="69"/>
        <v>29.23625881183953</v>
      </c>
      <c r="H175" s="307">
        <f t="shared" ca="1" si="70"/>
        <v>159.34238763404494</v>
      </c>
      <c r="I175" s="304">
        <f t="shared" ca="1" si="71"/>
        <v>162.00233123702603</v>
      </c>
      <c r="J175" s="306">
        <f t="shared" ca="1" si="72"/>
        <v>300.39953924211164</v>
      </c>
      <c r="K175" s="307">
        <f t="shared" ca="1" si="73"/>
        <v>2252.1144738856747</v>
      </c>
      <c r="L175" s="304">
        <f t="shared" ca="1" si="58"/>
        <v>2272.0606256572955</v>
      </c>
      <c r="M175" s="306">
        <f t="shared" ca="1" si="74"/>
        <v>1.3893339451822011</v>
      </c>
      <c r="N175" s="304">
        <f t="shared" ca="1" si="75"/>
        <v>79.602971393200193</v>
      </c>
      <c r="P175" s="310">
        <f t="shared" ca="1" si="76"/>
        <v>13</v>
      </c>
      <c r="Q175" s="304">
        <f t="shared" ca="1" si="77"/>
        <v>0</v>
      </c>
      <c r="R175" s="306">
        <f t="shared" ca="1" si="78"/>
        <v>0</v>
      </c>
      <c r="S175" s="307">
        <f t="shared" ca="1" si="79"/>
        <v>1.7842999999999964</v>
      </c>
      <c r="T175" s="304">
        <f t="shared" ca="1" si="59"/>
        <v>17.503982999999966</v>
      </c>
      <c r="U175" s="311">
        <f t="shared" ca="1" si="60"/>
        <v>0</v>
      </c>
      <c r="V175" s="306">
        <f t="shared" ca="1" si="61"/>
        <v>0.97703792576677306</v>
      </c>
      <c r="W175" s="304">
        <f t="shared" ca="1" si="62"/>
        <v>34.420801236723307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2252.1144738856747</v>
      </c>
      <c r="AG175" s="306">
        <f t="shared" ca="1" si="85"/>
        <v>-29.012332212411913</v>
      </c>
      <c r="AH175" s="304">
        <f t="shared" ca="1" si="86"/>
        <v>-19.363210958001545</v>
      </c>
    </row>
    <row r="176" spans="1:34" x14ac:dyDescent="0.2">
      <c r="A176" s="347">
        <f t="shared" ca="1" si="64"/>
        <v>0.01</v>
      </c>
      <c r="B176" s="304">
        <f t="shared" ca="1" si="65"/>
        <v>12.419999999999963</v>
      </c>
      <c r="D176" s="306">
        <f t="shared" ca="1" si="66"/>
        <v>-3.4813976645221185</v>
      </c>
      <c r="E176" s="307">
        <f t="shared" ca="1" si="67"/>
        <v>-28.784186120691217</v>
      </c>
      <c r="F176" s="304">
        <f t="shared" ca="1" si="68"/>
        <v>28.993956272456728</v>
      </c>
      <c r="G176" s="306">
        <f t="shared" ca="1" si="69"/>
        <v>29.201444835194309</v>
      </c>
      <c r="H176" s="307">
        <f t="shared" ca="1" si="70"/>
        <v>159.05454577283803</v>
      </c>
      <c r="I176" s="304">
        <f t="shared" ca="1" si="71"/>
        <v>161.71293365549562</v>
      </c>
      <c r="J176" s="306">
        <f t="shared" ca="1" si="72"/>
        <v>300.69172776034679</v>
      </c>
      <c r="K176" s="307">
        <f t="shared" ca="1" si="73"/>
        <v>2253.7064585527091</v>
      </c>
      <c r="L176" s="304">
        <f t="shared" ca="1" si="58"/>
        <v>2273.6772674383005</v>
      </c>
      <c r="M176" s="306">
        <f t="shared" ca="1" si="74"/>
        <v>1.3892244677037049</v>
      </c>
      <c r="N176" s="304">
        <f t="shared" ca="1" si="75"/>
        <v>79.596698795730632</v>
      </c>
      <c r="P176" s="310">
        <f t="shared" ca="1" si="76"/>
        <v>13</v>
      </c>
      <c r="Q176" s="304">
        <f t="shared" ca="1" si="77"/>
        <v>0</v>
      </c>
      <c r="R176" s="306">
        <f t="shared" ca="1" si="78"/>
        <v>0</v>
      </c>
      <c r="S176" s="307">
        <f t="shared" ca="1" si="79"/>
        <v>1.7842999999999964</v>
      </c>
      <c r="T176" s="304">
        <f t="shared" ca="1" si="59"/>
        <v>17.503982999999966</v>
      </c>
      <c r="U176" s="311">
        <f t="shared" ca="1" si="60"/>
        <v>0</v>
      </c>
      <c r="V176" s="306">
        <f t="shared" ca="1" si="61"/>
        <v>0.97688039647516611</v>
      </c>
      <c r="W176" s="304">
        <f t="shared" ca="1" si="62"/>
        <v>34.292403970221152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2253.7064585527091</v>
      </c>
      <c r="AG176" s="306">
        <f t="shared" ca="1" si="85"/>
        <v>-28.939855062092157</v>
      </c>
      <c r="AH176" s="304">
        <f t="shared" ca="1" si="86"/>
        <v>-19.290927106833703</v>
      </c>
    </row>
    <row r="177" spans="1:34" x14ac:dyDescent="0.2">
      <c r="A177" s="347">
        <f t="shared" ca="1" si="64"/>
        <v>0.01</v>
      </c>
      <c r="B177" s="304">
        <f t="shared" ca="1" si="65"/>
        <v>12.429999999999962</v>
      </c>
      <c r="D177" s="306">
        <f t="shared" ca="1" si="66"/>
        <v>-3.4704807513471221</v>
      </c>
      <c r="E177" s="307">
        <f t="shared" ca="1" si="67"/>
        <v>-28.713028347885547</v>
      </c>
      <c r="F177" s="304">
        <f t="shared" ca="1" si="68"/>
        <v>28.92200258543571</v>
      </c>
      <c r="G177" s="306">
        <f t="shared" ca="1" si="69"/>
        <v>29.166740027680838</v>
      </c>
      <c r="H177" s="307">
        <f t="shared" ca="1" si="70"/>
        <v>158.76741548935917</v>
      </c>
      <c r="I177" s="304">
        <f t="shared" ca="1" si="71"/>
        <v>161.42425761022761</v>
      </c>
      <c r="J177" s="306">
        <f t="shared" ca="1" si="72"/>
        <v>300.98356868466118</v>
      </c>
      <c r="K177" s="307">
        <f t="shared" ca="1" si="73"/>
        <v>2255.2955683590203</v>
      </c>
      <c r="L177" s="304">
        <f t="shared" ca="1" si="58"/>
        <v>2275.2910163928459</v>
      </c>
      <c r="M177" s="306">
        <f t="shared" ca="1" si="74"/>
        <v>1.3891147290078225</v>
      </c>
      <c r="N177" s="304">
        <f t="shared" ca="1" si="75"/>
        <v>79.590411231607305</v>
      </c>
      <c r="P177" s="310">
        <f t="shared" ca="1" si="76"/>
        <v>13</v>
      </c>
      <c r="Q177" s="304">
        <f t="shared" ca="1" si="77"/>
        <v>0</v>
      </c>
      <c r="R177" s="306">
        <f t="shared" ca="1" si="78"/>
        <v>0</v>
      </c>
      <c r="S177" s="307">
        <f t="shared" ca="1" si="79"/>
        <v>1.7842999999999964</v>
      </c>
      <c r="T177" s="304">
        <f t="shared" ca="1" si="59"/>
        <v>17.503982999999966</v>
      </c>
      <c r="U177" s="311">
        <f t="shared" ca="1" si="60"/>
        <v>0</v>
      </c>
      <c r="V177" s="306">
        <f t="shared" ca="1" si="61"/>
        <v>0.97672317413140464</v>
      </c>
      <c r="W177" s="304">
        <f t="shared" ca="1" si="62"/>
        <v>34.164582091435882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2255.2955683590203</v>
      </c>
      <c r="AG177" s="306">
        <f t="shared" ca="1" si="85"/>
        <v>-28.867701725037499</v>
      </c>
      <c r="AH177" s="304">
        <f t="shared" ca="1" si="86"/>
        <v>-19.218967645699276</v>
      </c>
    </row>
    <row r="178" spans="1:34" x14ac:dyDescent="0.2">
      <c r="A178" s="347">
        <f t="shared" ca="1" si="64"/>
        <v>0.01</v>
      </c>
      <c r="B178" s="304">
        <f t="shared" ca="1" si="65"/>
        <v>12.439999999999962</v>
      </c>
      <c r="D178" s="306">
        <f t="shared" ca="1" si="66"/>
        <v>-3.4596114844628185</v>
      </c>
      <c r="E178" s="307">
        <f t="shared" ca="1" si="67"/>
        <v>-28.642189454981128</v>
      </c>
      <c r="F178" s="304">
        <f t="shared" ca="1" si="68"/>
        <v>28.850371373666217</v>
      </c>
      <c r="G178" s="306">
        <f t="shared" ca="1" si="69"/>
        <v>29.132143912836209</v>
      </c>
      <c r="H178" s="307">
        <f t="shared" ca="1" si="70"/>
        <v>158.48099359480935</v>
      </c>
      <c r="I178" s="304">
        <f t="shared" ca="1" si="71"/>
        <v>161.13629988229283</v>
      </c>
      <c r="J178" s="306">
        <f t="shared" ca="1" si="72"/>
        <v>301.27506310436377</v>
      </c>
      <c r="K178" s="307">
        <f t="shared" ca="1" si="73"/>
        <v>2256.8818104044412</v>
      </c>
      <c r="L178" s="304">
        <f t="shared" ca="1" si="58"/>
        <v>2276.9018797003455</v>
      </c>
      <c r="M178" s="306">
        <f t="shared" ca="1" si="74"/>
        <v>1.3890047284938767</v>
      </c>
      <c r="N178" s="304">
        <f t="shared" ca="1" si="75"/>
        <v>79.58410866641394</v>
      </c>
      <c r="P178" s="310">
        <f t="shared" ca="1" si="76"/>
        <v>13</v>
      </c>
      <c r="Q178" s="304">
        <f t="shared" ca="1" si="77"/>
        <v>0</v>
      </c>
      <c r="R178" s="306">
        <f t="shared" ca="1" si="78"/>
        <v>0</v>
      </c>
      <c r="S178" s="307">
        <f t="shared" ca="1" si="79"/>
        <v>1.7842999999999964</v>
      </c>
      <c r="T178" s="304">
        <f t="shared" ca="1" si="59"/>
        <v>17.503982999999966</v>
      </c>
      <c r="U178" s="311">
        <f t="shared" ca="1" si="60"/>
        <v>0</v>
      </c>
      <c r="V178" s="306">
        <f t="shared" ca="1" si="61"/>
        <v>0.97656625790652929</v>
      </c>
      <c r="W178" s="304">
        <f t="shared" ca="1" si="62"/>
        <v>34.037332204455559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2256.8818104044412</v>
      </c>
      <c r="AG178" s="306">
        <f t="shared" ca="1" si="85"/>
        <v>-28.795870281849908</v>
      </c>
      <c r="AH178" s="304">
        <f t="shared" ca="1" si="86"/>
        <v>-19.147330657084542</v>
      </c>
    </row>
    <row r="179" spans="1:34" x14ac:dyDescent="0.2">
      <c r="A179" s="347">
        <f t="shared" ca="1" si="64"/>
        <v>0.01</v>
      </c>
      <c r="B179" s="304">
        <f t="shared" ca="1" si="65"/>
        <v>12.449999999999962</v>
      </c>
      <c r="D179" s="306">
        <f t="shared" ca="1" si="66"/>
        <v>-3.4487895803988171</v>
      </c>
      <c r="E179" s="307">
        <f t="shared" ca="1" si="67"/>
        <v>-28.571667559942327</v>
      </c>
      <c r="F179" s="304">
        <f t="shared" ca="1" si="68"/>
        <v>28.779060733903879</v>
      </c>
      <c r="G179" s="306">
        <f t="shared" ca="1" si="69"/>
        <v>29.097656017032222</v>
      </c>
      <c r="H179" s="307">
        <f t="shared" ca="1" si="70"/>
        <v>158.19527691920993</v>
      </c>
      <c r="I179" s="304">
        <f t="shared" ca="1" si="71"/>
        <v>160.84905727181322</v>
      </c>
      <c r="J179" s="306">
        <f t="shared" ca="1" si="72"/>
        <v>301.56621210401312</v>
      </c>
      <c r="K179" s="307">
        <f t="shared" ca="1" si="73"/>
        <v>2258.4651917570113</v>
      </c>
      <c r="L179" s="304">
        <f t="shared" ca="1" si="58"/>
        <v>2278.5098645081166</v>
      </c>
      <c r="M179" s="306">
        <f t="shared" ca="1" si="74"/>
        <v>1.3888944655589279</v>
      </c>
      <c r="N179" s="304">
        <f t="shared" ca="1" si="75"/>
        <v>79.577791065604643</v>
      </c>
      <c r="P179" s="310">
        <f t="shared" ca="1" si="76"/>
        <v>13</v>
      </c>
      <c r="Q179" s="304">
        <f t="shared" ca="1" si="77"/>
        <v>0</v>
      </c>
      <c r="R179" s="306">
        <f t="shared" ca="1" si="78"/>
        <v>0</v>
      </c>
      <c r="S179" s="307">
        <f t="shared" ca="1" si="79"/>
        <v>1.7842999999999964</v>
      </c>
      <c r="T179" s="304">
        <f t="shared" ca="1" si="59"/>
        <v>17.503982999999966</v>
      </c>
      <c r="U179" s="311">
        <f t="shared" ca="1" si="60"/>
        <v>0</v>
      </c>
      <c r="V179" s="306">
        <f t="shared" ca="1" si="61"/>
        <v>0.97640964697539867</v>
      </c>
      <c r="W179" s="304">
        <f t="shared" ca="1" si="62"/>
        <v>33.910650938647635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2258.4651917570113</v>
      </c>
      <c r="AG179" s="306">
        <f t="shared" ca="1" si="85"/>
        <v>-28.724358827418612</v>
      </c>
      <c r="AH179" s="304">
        <f t="shared" ca="1" si="86"/>
        <v>-19.076014237771467</v>
      </c>
    </row>
    <row r="180" spans="1:34" x14ac:dyDescent="0.2">
      <c r="A180" s="347">
        <f t="shared" ca="1" si="64"/>
        <v>0.01</v>
      </c>
      <c r="B180" s="304">
        <f t="shared" ca="1" si="65"/>
        <v>12.459999999999962</v>
      </c>
      <c r="D180" s="306">
        <f t="shared" ca="1" si="66"/>
        <v>-3.438014757792327</v>
      </c>
      <c r="E180" s="307">
        <f t="shared" ca="1" si="67"/>
        <v>-28.501460794743402</v>
      </c>
      <c r="F180" s="304">
        <f t="shared" ca="1" si="68"/>
        <v>28.708068777071944</v>
      </c>
      <c r="G180" s="306">
        <f t="shared" ca="1" si="69"/>
        <v>29.063275869454298</v>
      </c>
      <c r="H180" s="307">
        <f t="shared" ca="1" si="70"/>
        <v>157.9102623112625</v>
      </c>
      <c r="I180" s="304">
        <f t="shared" ca="1" si="71"/>
        <v>160.56252659782024</v>
      </c>
      <c r="J180" s="306">
        <f t="shared" ca="1" si="72"/>
        <v>301.85701676344553</v>
      </c>
      <c r="K180" s="307">
        <f t="shared" ca="1" si="73"/>
        <v>2260.0457194531637</v>
      </c>
      <c r="L180" s="304">
        <f t="shared" ca="1" si="58"/>
        <v>2280.1149779315724</v>
      </c>
      <c r="M180" s="306">
        <f t="shared" ca="1" si="74"/>
        <v>1.3887839395977664</v>
      </c>
      <c r="N180" s="304">
        <f t="shared" ca="1" si="75"/>
        <v>79.571458394503466</v>
      </c>
      <c r="P180" s="310">
        <f t="shared" ca="1" si="76"/>
        <v>13</v>
      </c>
      <c r="Q180" s="304">
        <f t="shared" ca="1" si="77"/>
        <v>0</v>
      </c>
      <c r="R180" s="306">
        <f t="shared" ca="1" si="78"/>
        <v>0</v>
      </c>
      <c r="S180" s="307">
        <f t="shared" ca="1" si="79"/>
        <v>1.7842999999999964</v>
      </c>
      <c r="T180" s="304">
        <f t="shared" ca="1" si="59"/>
        <v>17.503982999999966</v>
      </c>
      <c r="U180" s="311">
        <f t="shared" ca="1" si="60"/>
        <v>0</v>
      </c>
      <c r="V180" s="306">
        <f t="shared" ca="1" si="61"/>
        <v>0.97625334051666668</v>
      </c>
      <c r="W180" s="304">
        <f t="shared" ca="1" si="62"/>
        <v>33.784534948432842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2260.0457194531637</v>
      </c>
      <c r="AG180" s="306">
        <f t="shared" ca="1" si="85"/>
        <v>-28.653165470791976</v>
      </c>
      <c r="AH180" s="304">
        <f t="shared" ca="1" si="86"/>
        <v>-19.00501649870969</v>
      </c>
    </row>
    <row r="181" spans="1:34" x14ac:dyDescent="0.2">
      <c r="A181" s="347">
        <f t="shared" ca="1" si="64"/>
        <v>0.01</v>
      </c>
      <c r="B181" s="304">
        <f t="shared" ca="1" si="65"/>
        <v>12.469999999999962</v>
      </c>
      <c r="D181" s="306">
        <f t="shared" ca="1" si="66"/>
        <v>-3.4272867373692866</v>
      </c>
      <c r="E181" s="307">
        <f t="shared" ca="1" si="67"/>
        <v>-28.431567305243242</v>
      </c>
      <c r="F181" s="304">
        <f t="shared" ca="1" si="68"/>
        <v>28.637393628134596</v>
      </c>
      <c r="G181" s="306">
        <f t="shared" ca="1" si="69"/>
        <v>29.029003002080604</v>
      </c>
      <c r="H181" s="307">
        <f t="shared" ca="1" si="70"/>
        <v>157.62594663821008</v>
      </c>
      <c r="I181" s="304">
        <f t="shared" ca="1" si="71"/>
        <v>160.27670469811468</v>
      </c>
      <c r="J181" s="306">
        <f t="shared" ca="1" si="72"/>
        <v>302.14747815780322</v>
      </c>
      <c r="K181" s="307">
        <f t="shared" ca="1" si="73"/>
        <v>2261.623400497911</v>
      </c>
      <c r="L181" s="304">
        <f t="shared" ca="1" si="58"/>
        <v>2281.7172270544074</v>
      </c>
      <c r="M181" s="306">
        <f t="shared" ca="1" si="74"/>
        <v>1.3886731500029006</v>
      </c>
      <c r="N181" s="304">
        <f t="shared" ca="1" si="75"/>
        <v>79.565110618303692</v>
      </c>
      <c r="P181" s="310">
        <f t="shared" ca="1" si="76"/>
        <v>13</v>
      </c>
      <c r="Q181" s="304">
        <f t="shared" ca="1" si="77"/>
        <v>0</v>
      </c>
      <c r="R181" s="306">
        <f t="shared" ca="1" si="78"/>
        <v>0</v>
      </c>
      <c r="S181" s="307">
        <f t="shared" ca="1" si="79"/>
        <v>1.7842999999999964</v>
      </c>
      <c r="T181" s="304">
        <f t="shared" ca="1" si="59"/>
        <v>17.503982999999966</v>
      </c>
      <c r="U181" s="311">
        <f t="shared" ca="1" si="60"/>
        <v>0</v>
      </c>
      <c r="V181" s="306">
        <f t="shared" ca="1" si="61"/>
        <v>0.97609733771275853</v>
      </c>
      <c r="W181" s="304">
        <f t="shared" ca="1" si="62"/>
        <v>33.658980913061662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2261.623400497911</v>
      </c>
      <c r="AG181" s="306">
        <f t="shared" ca="1" si="85"/>
        <v>-28.582288335050798</v>
      </c>
      <c r="AH181" s="304">
        <f t="shared" ca="1" si="86"/>
        <v>-18.934335564889821</v>
      </c>
    </row>
    <row r="182" spans="1:34" x14ac:dyDescent="0.2">
      <c r="A182" s="347">
        <f t="shared" ca="1" si="64"/>
        <v>0.01</v>
      </c>
      <c r="B182" s="304">
        <f t="shared" ca="1" si="65"/>
        <v>12.479999999999961</v>
      </c>
      <c r="D182" s="306">
        <f t="shared" ca="1" si="66"/>
        <v>-3.416605241925752</v>
      </c>
      <c r="E182" s="307">
        <f t="shared" ca="1" si="67"/>
        <v>-28.361985251061441</v>
      </c>
      <c r="F182" s="304">
        <f t="shared" ca="1" si="68"/>
        <v>28.567033425971644</v>
      </c>
      <c r="G182" s="306">
        <f t="shared" ca="1" si="69"/>
        <v>28.994836949661345</v>
      </c>
      <c r="H182" s="307">
        <f t="shared" ca="1" si="70"/>
        <v>157.34232678569947</v>
      </c>
      <c r="I182" s="304">
        <f t="shared" ca="1" si="71"/>
        <v>159.9915884291274</v>
      </c>
      <c r="J182" s="306">
        <f t="shared" ca="1" si="72"/>
        <v>302.43759735756191</v>
      </c>
      <c r="K182" s="307">
        <f t="shared" ca="1" si="73"/>
        <v>2263.1982418650305</v>
      </c>
      <c r="L182" s="304">
        <f t="shared" ca="1" si="58"/>
        <v>2283.3166189287854</v>
      </c>
      <c r="M182" s="306">
        <f t="shared" ca="1" si="74"/>
        <v>1.3885620961645495</v>
      </c>
      <c r="N182" s="304">
        <f t="shared" ca="1" si="75"/>
        <v>79.558747702067436</v>
      </c>
      <c r="P182" s="310">
        <f t="shared" ca="1" si="76"/>
        <v>13</v>
      </c>
      <c r="Q182" s="304">
        <f t="shared" ca="1" si="77"/>
        <v>0</v>
      </c>
      <c r="R182" s="306">
        <f t="shared" ca="1" si="78"/>
        <v>0</v>
      </c>
      <c r="S182" s="307">
        <f t="shared" ca="1" si="79"/>
        <v>1.7842999999999964</v>
      </c>
      <c r="T182" s="304">
        <f t="shared" ca="1" si="59"/>
        <v>17.503982999999966</v>
      </c>
      <c r="U182" s="311">
        <f t="shared" ca="1" si="60"/>
        <v>0</v>
      </c>
      <c r="V182" s="306">
        <f t="shared" ca="1" si="61"/>
        <v>0.97594163774984999</v>
      </c>
      <c r="W182" s="304">
        <f t="shared" ca="1" si="62"/>
        <v>33.533985536392919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2263.1982418650305</v>
      </c>
      <c r="AG182" s="306">
        <f t="shared" ca="1" si="85"/>
        <v>-28.511725557182938</v>
      </c>
      <c r="AH182" s="304">
        <f t="shared" ca="1" si="86"/>
        <v>-18.863969575218142</v>
      </c>
    </row>
    <row r="183" spans="1:34" x14ac:dyDescent="0.2">
      <c r="A183" s="347">
        <f t="shared" ca="1" si="64"/>
        <v>0.01</v>
      </c>
      <c r="B183" s="304">
        <f t="shared" ca="1" si="65"/>
        <v>12.489999999999961</v>
      </c>
      <c r="D183" s="306">
        <f t="shared" ca="1" si="66"/>
        <v>-3.4059699963094112</v>
      </c>
      <c r="E183" s="307">
        <f t="shared" ca="1" si="67"/>
        <v>-28.292712805455594</v>
      </c>
      <c r="F183" s="304">
        <f t="shared" ca="1" si="68"/>
        <v>28.496986323254443</v>
      </c>
      <c r="G183" s="306">
        <f t="shared" ca="1" si="69"/>
        <v>28.96077724969825</v>
      </c>
      <c r="H183" s="307">
        <f t="shared" ca="1" si="70"/>
        <v>157.05939965764492</v>
      </c>
      <c r="I183" s="304">
        <f t="shared" ca="1" si="71"/>
        <v>159.70717466578159</v>
      </c>
      <c r="J183" s="306">
        <f t="shared" ca="1" si="72"/>
        <v>302.72737542855873</v>
      </c>
      <c r="K183" s="307">
        <f t="shared" ca="1" si="73"/>
        <v>2264.7702504972472</v>
      </c>
      <c r="L183" s="304">
        <f t="shared" ca="1" si="58"/>
        <v>2284.9131605755233</v>
      </c>
      <c r="M183" s="306">
        <f t="shared" ca="1" si="74"/>
        <v>1.3884507774706332</v>
      </c>
      <c r="N183" s="304">
        <f t="shared" ca="1" si="75"/>
        <v>79.552369610725123</v>
      </c>
      <c r="P183" s="310">
        <f t="shared" ca="1" si="76"/>
        <v>13</v>
      </c>
      <c r="Q183" s="304">
        <f t="shared" ca="1" si="77"/>
        <v>0</v>
      </c>
      <c r="R183" s="306">
        <f t="shared" ca="1" si="78"/>
        <v>0</v>
      </c>
      <c r="S183" s="307">
        <f t="shared" ca="1" si="79"/>
        <v>1.7842999999999964</v>
      </c>
      <c r="T183" s="304">
        <f t="shared" ca="1" si="59"/>
        <v>17.503982999999966</v>
      </c>
      <c r="U183" s="311">
        <f t="shared" ca="1" si="60"/>
        <v>0</v>
      </c>
      <c r="V183" s="306">
        <f t="shared" ca="1" si="61"/>
        <v>0.97578623981784252</v>
      </c>
      <c r="W183" s="304">
        <f t="shared" ca="1" si="62"/>
        <v>33.409545546674771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2264.7702504972472</v>
      </c>
      <c r="AG183" s="306">
        <f t="shared" ca="1" si="85"/>
        <v>-28.441475287959214</v>
      </c>
      <c r="AH183" s="304">
        <f t="shared" ca="1" si="86"/>
        <v>-18.793916682392528</v>
      </c>
    </row>
    <row r="184" spans="1:34" x14ac:dyDescent="0.2">
      <c r="A184" s="347">
        <f t="shared" ca="1" si="64"/>
        <v>0.01</v>
      </c>
      <c r="B184" s="304">
        <f t="shared" ca="1" si="65"/>
        <v>12.499999999999961</v>
      </c>
      <c r="D184" s="306">
        <f t="shared" ca="1" si="66"/>
        <v>-3.3953807274013146</v>
      </c>
      <c r="E184" s="307">
        <f t="shared" ca="1" si="67"/>
        <v>-28.223748155199956</v>
      </c>
      <c r="F184" s="304">
        <f t="shared" ca="1" si="68"/>
        <v>28.427250486323175</v>
      </c>
      <c r="G184" s="306">
        <f t="shared" ca="1" si="69"/>
        <v>28.926823442424237</v>
      </c>
      <c r="H184" s="307">
        <f t="shared" ca="1" si="70"/>
        <v>156.77716217609293</v>
      </c>
      <c r="I184" s="304">
        <f t="shared" ca="1" si="71"/>
        <v>159.4234603013563</v>
      </c>
      <c r="J184" s="306">
        <f t="shared" ca="1" si="72"/>
        <v>303.01681343201932</v>
      </c>
      <c r="K184" s="307">
        <f t="shared" ca="1" si="73"/>
        <v>2266.3394333064157</v>
      </c>
      <c r="L184" s="304">
        <f t="shared" ca="1" si="58"/>
        <v>2286.5068589842763</v>
      </c>
      <c r="M184" s="306">
        <f t="shared" ca="1" si="74"/>
        <v>1.3883391933067624</v>
      </c>
      <c r="N184" s="304">
        <f t="shared" ca="1" si="75"/>
        <v>79.545976309074831</v>
      </c>
      <c r="P184" s="310">
        <f t="shared" ca="1" si="76"/>
        <v>13</v>
      </c>
      <c r="Q184" s="304">
        <f t="shared" ca="1" si="77"/>
        <v>0</v>
      </c>
      <c r="R184" s="306">
        <f t="shared" ca="1" si="78"/>
        <v>0</v>
      </c>
      <c r="S184" s="307">
        <f t="shared" ca="1" si="79"/>
        <v>1.7842999999999964</v>
      </c>
      <c r="T184" s="304">
        <f t="shared" ca="1" si="59"/>
        <v>17.503982999999966</v>
      </c>
      <c r="U184" s="311">
        <f t="shared" ca="1" si="60"/>
        <v>0</v>
      </c>
      <c r="V184" s="306">
        <f t="shared" ca="1" si="61"/>
        <v>0.97563114311034282</v>
      </c>
      <c r="W184" s="304">
        <f t="shared" ca="1" si="62"/>
        <v>33.285657696328045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2266.3394333064157</v>
      </c>
      <c r="AG184" s="306">
        <f t="shared" ca="1" si="85"/>
        <v>-28.371535691810625</v>
      </c>
      <c r="AH184" s="304">
        <f t="shared" ca="1" si="86"/>
        <v>-18.72417505277971</v>
      </c>
    </row>
    <row r="185" spans="1:34" x14ac:dyDescent="0.2">
      <c r="A185" s="347">
        <f t="shared" ca="1" si="64"/>
        <v>0.01</v>
      </c>
      <c r="B185" s="304">
        <f t="shared" ca="1" si="65"/>
        <v>12.509999999999961</v>
      </c>
      <c r="D185" s="306">
        <f t="shared" ca="1" si="66"/>
        <v>-3.384837164097827</v>
      </c>
      <c r="E185" s="307">
        <f t="shared" ca="1" si="67"/>
        <v>-28.15508950046533</v>
      </c>
      <c r="F185" s="304">
        <f t="shared" ca="1" si="68"/>
        <v>28.357824095065382</v>
      </c>
      <c r="G185" s="306">
        <f t="shared" ca="1" si="69"/>
        <v>28.892975070783258</v>
      </c>
      <c r="H185" s="307">
        <f t="shared" ca="1" si="70"/>
        <v>156.49561128108829</v>
      </c>
      <c r="I185" s="304">
        <f t="shared" ca="1" si="71"/>
        <v>159.14044224735079</v>
      </c>
      <c r="J185" s="306">
        <f t="shared" ca="1" si="72"/>
        <v>303.30591242458536</v>
      </c>
      <c r="K185" s="307">
        <f t="shared" ca="1" si="73"/>
        <v>2267.9057971737016</v>
      </c>
      <c r="L185" s="304">
        <f t="shared" ca="1" si="58"/>
        <v>2288.0977211137188</v>
      </c>
      <c r="M185" s="306">
        <f t="shared" ca="1" si="74"/>
        <v>1.3882273430562297</v>
      </c>
      <c r="N185" s="304">
        <f t="shared" ca="1" si="75"/>
        <v>79.539567761781839</v>
      </c>
      <c r="P185" s="310">
        <f t="shared" ca="1" si="76"/>
        <v>13</v>
      </c>
      <c r="Q185" s="304">
        <f t="shared" ca="1" si="77"/>
        <v>0</v>
      </c>
      <c r="R185" s="306">
        <f t="shared" ca="1" si="78"/>
        <v>0</v>
      </c>
      <c r="S185" s="307">
        <f t="shared" ca="1" si="79"/>
        <v>1.7842999999999964</v>
      </c>
      <c r="T185" s="304">
        <f t="shared" ca="1" si="59"/>
        <v>17.503982999999966</v>
      </c>
      <c r="U185" s="311">
        <f t="shared" ca="1" si="60"/>
        <v>0</v>
      </c>
      <c r="V185" s="306">
        <f t="shared" ca="1" si="61"/>
        <v>0.97547634682463946</v>
      </c>
      <c r="W185" s="304">
        <f t="shared" ca="1" si="62"/>
        <v>33.162318761731619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2267.9057971737016</v>
      </c>
      <c r="AG185" s="306">
        <f t="shared" ca="1" si="85"/>
        <v>-28.301904946706848</v>
      </c>
      <c r="AH185" s="304">
        <f t="shared" ca="1" si="86"/>
        <v>-18.654742866293848</v>
      </c>
    </row>
    <row r="186" spans="1:34" x14ac:dyDescent="0.2">
      <c r="A186" s="347">
        <f t="shared" ca="1" si="64"/>
        <v>0.01</v>
      </c>
      <c r="B186" s="304">
        <f t="shared" ca="1" si="65"/>
        <v>12.51999999999996</v>
      </c>
      <c r="D186" s="306">
        <f t="shared" ca="1" si="66"/>
        <v>-3.3743390372927111</v>
      </c>
      <c r="E186" s="307">
        <f t="shared" ca="1" si="67"/>
        <v>-28.086735054700149</v>
      </c>
      <c r="F186" s="304">
        <f t="shared" ca="1" si="68"/>
        <v>28.28870534279573</v>
      </c>
      <c r="G186" s="306">
        <f t="shared" ca="1" si="69"/>
        <v>28.859231680410332</v>
      </c>
      <c r="H186" s="307">
        <f t="shared" ca="1" si="70"/>
        <v>156.21474393054129</v>
      </c>
      <c r="I186" s="304">
        <f t="shared" ca="1" si="71"/>
        <v>158.85811743335051</v>
      </c>
      <c r="J186" s="306">
        <f t="shared" ca="1" si="72"/>
        <v>303.59467345834133</v>
      </c>
      <c r="K186" s="307">
        <f t="shared" ca="1" si="73"/>
        <v>2269.4693489497595</v>
      </c>
      <c r="L186" s="304">
        <f t="shared" ca="1" si="58"/>
        <v>2289.6857538917261</v>
      </c>
      <c r="M186" s="306">
        <f t="shared" ca="1" si="74"/>
        <v>1.3881152260999998</v>
      </c>
      <c r="N186" s="304">
        <f t="shared" ca="1" si="75"/>
        <v>79.533143933378</v>
      </c>
      <c r="P186" s="310">
        <f t="shared" ca="1" si="76"/>
        <v>13</v>
      </c>
      <c r="Q186" s="304">
        <f t="shared" ca="1" si="77"/>
        <v>0</v>
      </c>
      <c r="R186" s="306">
        <f t="shared" ca="1" si="78"/>
        <v>0</v>
      </c>
      <c r="S186" s="307">
        <f t="shared" ca="1" si="79"/>
        <v>1.7842999999999964</v>
      </c>
      <c r="T186" s="304">
        <f t="shared" ca="1" si="59"/>
        <v>17.503982999999966</v>
      </c>
      <c r="U186" s="311">
        <f t="shared" ca="1" si="60"/>
        <v>0</v>
      </c>
      <c r="V186" s="306">
        <f t="shared" ca="1" si="61"/>
        <v>0.97532185016168205</v>
      </c>
      <c r="W186" s="304">
        <f t="shared" ca="1" si="62"/>
        <v>33.039525543010278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2269.4693489497595</v>
      </c>
      <c r="AG186" s="306">
        <f t="shared" ca="1" si="85"/>
        <v>-28.232581244035934</v>
      </c>
      <c r="AH186" s="304">
        <f t="shared" ca="1" si="86"/>
        <v>-18.585618316276236</v>
      </c>
    </row>
    <row r="187" spans="1:34" x14ac:dyDescent="0.2">
      <c r="A187" s="347">
        <f t="shared" ca="1" si="64"/>
        <v>0.01</v>
      </c>
      <c r="B187" s="304">
        <f t="shared" ca="1" si="65"/>
        <v>12.52999999999996</v>
      </c>
      <c r="D187" s="306">
        <f t="shared" ca="1" si="66"/>
        <v>-3.3638860798594492</v>
      </c>
      <c r="E187" s="307">
        <f t="shared" ca="1" si="67"/>
        <v>-28.018683044512869</v>
      </c>
      <c r="F187" s="304">
        <f t="shared" ca="1" si="68"/>
        <v>28.219892436137052</v>
      </c>
      <c r="G187" s="306">
        <f t="shared" ca="1" si="69"/>
        <v>28.825592819611739</v>
      </c>
      <c r="H187" s="307">
        <f t="shared" ca="1" si="70"/>
        <v>155.93455710009616</v>
      </c>
      <c r="I187" s="304">
        <f t="shared" ca="1" si="71"/>
        <v>158.57648280689418</v>
      </c>
      <c r="J187" s="306">
        <f t="shared" ca="1" si="72"/>
        <v>303.88309758084142</v>
      </c>
      <c r="K187" s="307">
        <f t="shared" ca="1" si="73"/>
        <v>2271.0300954549125</v>
      </c>
      <c r="L187" s="304">
        <f t="shared" ca="1" si="58"/>
        <v>2291.2709642155546</v>
      </c>
      <c r="M187" s="306">
        <f t="shared" ca="1" si="74"/>
        <v>1.3880028418166999</v>
      </c>
      <c r="N187" s="304">
        <f t="shared" ca="1" si="75"/>
        <v>79.526704788261313</v>
      </c>
      <c r="P187" s="310">
        <f t="shared" ca="1" si="76"/>
        <v>13</v>
      </c>
      <c r="Q187" s="304">
        <f t="shared" ca="1" si="77"/>
        <v>0</v>
      </c>
      <c r="R187" s="306">
        <f t="shared" ca="1" si="78"/>
        <v>0</v>
      </c>
      <c r="S187" s="307">
        <f t="shared" ca="1" si="79"/>
        <v>1.7842999999999964</v>
      </c>
      <c r="T187" s="304">
        <f t="shared" ca="1" si="59"/>
        <v>17.503982999999966</v>
      </c>
      <c r="U187" s="311">
        <f t="shared" ca="1" si="60"/>
        <v>0</v>
      </c>
      <c r="V187" s="306">
        <f t="shared" ca="1" si="61"/>
        <v>0.97516765232605729</v>
      </c>
      <c r="W187" s="304">
        <f t="shared" ca="1" si="62"/>
        <v>32.917274863824538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2271.0300954549125</v>
      </c>
      <c r="AG187" s="306">
        <f t="shared" ca="1" si="85"/>
        <v>-28.163562788485361</v>
      </c>
      <c r="AH187" s="304">
        <f t="shared" ca="1" si="86"/>
        <v>-18.51679960937642</v>
      </c>
    </row>
    <row r="188" spans="1:34" x14ac:dyDescent="0.2">
      <c r="A188" s="347">
        <f t="shared" ca="1" si="64"/>
        <v>0.01</v>
      </c>
      <c r="B188" s="304">
        <f t="shared" ca="1" si="65"/>
        <v>12.53999999999996</v>
      </c>
      <c r="D188" s="306">
        <f t="shared" ca="1" si="66"/>
        <v>-3.3534780266337041</v>
      </c>
      <c r="E188" s="307">
        <f t="shared" ca="1" si="67"/>
        <v>-27.950931709555547</v>
      </c>
      <c r="F188" s="304">
        <f t="shared" ca="1" si="68"/>
        <v>28.151383594902629</v>
      </c>
      <c r="G188" s="306">
        <f t="shared" ca="1" si="69"/>
        <v>28.792058039345402</v>
      </c>
      <c r="H188" s="307">
        <f t="shared" ca="1" si="70"/>
        <v>155.65504778300061</v>
      </c>
      <c r="I188" s="304">
        <f t="shared" ca="1" si="71"/>
        <v>158.29553533334172</v>
      </c>
      <c r="J188" s="306">
        <f t="shared" ca="1" si="72"/>
        <v>304.17118583513621</v>
      </c>
      <c r="K188" s="307">
        <f t="shared" ca="1" si="73"/>
        <v>2272.588043479328</v>
      </c>
      <c r="L188" s="304">
        <f t="shared" ca="1" si="58"/>
        <v>2292.8533589520184</v>
      </c>
      <c r="M188" s="306">
        <f t="shared" ca="1" si="74"/>
        <v>1.3878901895826097</v>
      </c>
      <c r="N188" s="304">
        <f t="shared" ca="1" si="75"/>
        <v>79.52025029069523</v>
      </c>
      <c r="P188" s="310">
        <f t="shared" ca="1" si="76"/>
        <v>13</v>
      </c>
      <c r="Q188" s="304">
        <f t="shared" ca="1" si="77"/>
        <v>0</v>
      </c>
      <c r="R188" s="306">
        <f t="shared" ca="1" si="78"/>
        <v>0</v>
      </c>
      <c r="S188" s="307">
        <f t="shared" ca="1" si="79"/>
        <v>1.7842999999999964</v>
      </c>
      <c r="T188" s="304">
        <f t="shared" ca="1" si="59"/>
        <v>17.503982999999966</v>
      </c>
      <c r="U188" s="311">
        <f t="shared" ca="1" si="60"/>
        <v>0</v>
      </c>
      <c r="V188" s="306">
        <f t="shared" ca="1" si="61"/>
        <v>0.97501375252596956</v>
      </c>
      <c r="W188" s="304">
        <f t="shared" ca="1" si="62"/>
        <v>32.795563571162816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2272.588043479328</v>
      </c>
      <c r="AG188" s="306">
        <f t="shared" ca="1" si="85"/>
        <v>-28.094847797924206</v>
      </c>
      <c r="AH188" s="304">
        <f t="shared" ca="1" si="86"/>
        <v>-18.448284965434404</v>
      </c>
    </row>
    <row r="189" spans="1:34" x14ac:dyDescent="0.2">
      <c r="A189" s="347">
        <f t="shared" ca="1" si="64"/>
        <v>0.01</v>
      </c>
      <c r="B189" s="304">
        <f t="shared" ca="1" si="65"/>
        <v>12.54999999999996</v>
      </c>
      <c r="D189" s="306">
        <f t="shared" ca="1" si="66"/>
        <v>-3.3431146143959958</v>
      </c>
      <c r="E189" s="307">
        <f t="shared" ca="1" si="67"/>
        <v>-27.883479302408595</v>
      </c>
      <c r="F189" s="304">
        <f t="shared" ca="1" si="68"/>
        <v>28.083177051979654</v>
      </c>
      <c r="G189" s="306">
        <f t="shared" ca="1" si="69"/>
        <v>28.758626893201441</v>
      </c>
      <c r="H189" s="307">
        <f t="shared" ca="1" si="70"/>
        <v>155.37621298997652</v>
      </c>
      <c r="I189" s="304">
        <f t="shared" ca="1" si="71"/>
        <v>158.01527199574389</v>
      </c>
      <c r="J189" s="306">
        <f t="shared" ca="1" si="72"/>
        <v>304.45893925979897</v>
      </c>
      <c r="K189" s="307">
        <f t="shared" ca="1" si="73"/>
        <v>2274.1431997831928</v>
      </c>
      <c r="L189" s="304">
        <f t="shared" ca="1" si="58"/>
        <v>2294.4329449376683</v>
      </c>
      <c r="M189" s="306">
        <f t="shared" ca="1" si="74"/>
        <v>1.3877772687716527</v>
      </c>
      <c r="N189" s="304">
        <f t="shared" ca="1" si="75"/>
        <v>79.513780404808202</v>
      </c>
      <c r="P189" s="310">
        <f t="shared" ca="1" si="76"/>
        <v>13</v>
      </c>
      <c r="Q189" s="304">
        <f t="shared" ca="1" si="77"/>
        <v>0</v>
      </c>
      <c r="R189" s="306">
        <f t="shared" ca="1" si="78"/>
        <v>0</v>
      </c>
      <c r="S189" s="307">
        <f t="shared" ca="1" si="79"/>
        <v>1.7842999999999964</v>
      </c>
      <c r="T189" s="304">
        <f t="shared" ca="1" si="59"/>
        <v>17.503982999999966</v>
      </c>
      <c r="U189" s="311">
        <f t="shared" ca="1" si="60"/>
        <v>0</v>
      </c>
      <c r="V189" s="306">
        <f t="shared" ca="1" si="61"/>
        <v>0.97486014997321857</v>
      </c>
      <c r="W189" s="304">
        <f t="shared" ca="1" si="62"/>
        <v>32.674388535135684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2274.1431997831928</v>
      </c>
      <c r="AG189" s="306">
        <f t="shared" ca="1" si="85"/>
        <v>-28.026434503286605</v>
      </c>
      <c r="AH189" s="304">
        <f t="shared" ca="1" si="86"/>
        <v>-18.380072617364167</v>
      </c>
    </row>
    <row r="190" spans="1:34" x14ac:dyDescent="0.2">
      <c r="A190" s="347">
        <f t="shared" ca="1" si="64"/>
        <v>0.01</v>
      </c>
      <c r="B190" s="304">
        <f t="shared" ca="1" si="65"/>
        <v>12.55999999999996</v>
      </c>
      <c r="D190" s="306">
        <f t="shared" ca="1" si="66"/>
        <v>-3.3327955818545316</v>
      </c>
      <c r="E190" s="307">
        <f t="shared" ca="1" si="67"/>
        <v>-27.816324088466807</v>
      </c>
      <c r="F190" s="304">
        <f t="shared" ca="1" si="68"/>
        <v>28.015271053213954</v>
      </c>
      <c r="G190" s="306">
        <f t="shared" ca="1" si="69"/>
        <v>28.725298937382895</v>
      </c>
      <c r="H190" s="307">
        <f t="shared" ca="1" si="70"/>
        <v>155.09804974909184</v>
      </c>
      <c r="I190" s="304">
        <f t="shared" ca="1" si="71"/>
        <v>157.73568979471253</v>
      </c>
      <c r="J190" s="306">
        <f t="shared" ca="1" si="72"/>
        <v>304.74635888895187</v>
      </c>
      <c r="K190" s="307">
        <f t="shared" ca="1" si="73"/>
        <v>2275.6955710968882</v>
      </c>
      <c r="L190" s="304">
        <f t="shared" ca="1" si="58"/>
        <v>2296.0097289789665</v>
      </c>
      <c r="M190" s="306">
        <f t="shared" ca="1" si="74"/>
        <v>1.3876640787553851</v>
      </c>
      <c r="N190" s="304">
        <f t="shared" ca="1" si="75"/>
        <v>79.507295094593047</v>
      </c>
      <c r="P190" s="310">
        <f t="shared" ca="1" si="76"/>
        <v>13</v>
      </c>
      <c r="Q190" s="304">
        <f t="shared" ca="1" si="77"/>
        <v>0</v>
      </c>
      <c r="R190" s="306">
        <f t="shared" ca="1" si="78"/>
        <v>0</v>
      </c>
      <c r="S190" s="307">
        <f t="shared" ca="1" si="79"/>
        <v>1.7842999999999964</v>
      </c>
      <c r="T190" s="304">
        <f t="shared" ca="1" si="59"/>
        <v>17.503982999999966</v>
      </c>
      <c r="U190" s="311">
        <f t="shared" ca="1" si="60"/>
        <v>0</v>
      </c>
      <c r="V190" s="306">
        <f t="shared" ca="1" si="61"/>
        <v>0.9747068438831773</v>
      </c>
      <c r="W190" s="304">
        <f t="shared" ca="1" si="62"/>
        <v>32.553746648772119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2275.6955710968882</v>
      </c>
      <c r="AG190" s="306">
        <f t="shared" ca="1" si="85"/>
        <v>-27.958321148456413</v>
      </c>
      <c r="AH190" s="304">
        <f t="shared" ca="1" si="86"/>
        <v>-18.31216081103836</v>
      </c>
    </row>
    <row r="191" spans="1:34" x14ac:dyDescent="0.2">
      <c r="A191" s="347">
        <f t="shared" ca="1" si="64"/>
        <v>0.01</v>
      </c>
      <c r="B191" s="304">
        <f t="shared" ca="1" si="65"/>
        <v>12.569999999999959</v>
      </c>
      <c r="D191" s="306">
        <f t="shared" ca="1" si="66"/>
        <v>-3.3225206696282341</v>
      </c>
      <c r="E191" s="307">
        <f t="shared" ca="1" si="67"/>
        <v>-27.749464345826411</v>
      </c>
      <c r="F191" s="304">
        <f t="shared" ca="1" si="68"/>
        <v>27.947663857295801</v>
      </c>
      <c r="G191" s="306">
        <f t="shared" ca="1" si="69"/>
        <v>28.692073730686612</v>
      </c>
      <c r="H191" s="307">
        <f t="shared" ca="1" si="70"/>
        <v>154.82055510563359</v>
      </c>
      <c r="I191" s="304">
        <f t="shared" ca="1" si="71"/>
        <v>157.45678574829248</v>
      </c>
      <c r="J191" s="306">
        <f t="shared" ca="1" si="72"/>
        <v>305.03344575229221</v>
      </c>
      <c r="K191" s="307">
        <f t="shared" ca="1" si="73"/>
        <v>2277.2451641211619</v>
      </c>
      <c r="L191" s="304">
        <f t="shared" ca="1" si="58"/>
        <v>2297.5837178524603</v>
      </c>
      <c r="M191" s="306">
        <f t="shared" ca="1" si="74"/>
        <v>1.3875506189029869</v>
      </c>
      <c r="N191" s="304">
        <f t="shared" ca="1" si="75"/>
        <v>79.500794323906462</v>
      </c>
      <c r="P191" s="310">
        <f t="shared" ca="1" si="76"/>
        <v>13</v>
      </c>
      <c r="Q191" s="304">
        <f t="shared" ca="1" si="77"/>
        <v>0</v>
      </c>
      <c r="R191" s="306">
        <f t="shared" ca="1" si="78"/>
        <v>0</v>
      </c>
      <c r="S191" s="307">
        <f t="shared" ca="1" si="79"/>
        <v>1.7842999999999964</v>
      </c>
      <c r="T191" s="304">
        <f t="shared" ca="1" si="59"/>
        <v>17.503982999999966</v>
      </c>
      <c r="U191" s="311">
        <f t="shared" ca="1" si="60"/>
        <v>0</v>
      </c>
      <c r="V191" s="306">
        <f t="shared" ca="1" si="61"/>
        <v>0.97455383347477076</v>
      </c>
      <c r="W191" s="304">
        <f t="shared" ca="1" si="62"/>
        <v>32.433634827818118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2277.2451641211619</v>
      </c>
      <c r="AG191" s="306">
        <f t="shared" ca="1" si="85"/>
        <v>-27.890505990152967</v>
      </c>
      <c r="AH191" s="304">
        <f t="shared" ca="1" si="86"/>
        <v>-18.244547805174122</v>
      </c>
    </row>
    <row r="192" spans="1:34" x14ac:dyDescent="0.2">
      <c r="A192" s="347">
        <f t="shared" ca="1" si="64"/>
        <v>0.01</v>
      </c>
      <c r="B192" s="304">
        <f t="shared" ca="1" si="65"/>
        <v>12.579999999999959</v>
      </c>
      <c r="D192" s="306">
        <f t="shared" ca="1" si="66"/>
        <v>-3.3122896202299237</v>
      </c>
      <c r="E192" s="307">
        <f t="shared" ca="1" si="67"/>
        <v>-27.682898365173457</v>
      </c>
      <c r="F192" s="304">
        <f t="shared" ca="1" si="68"/>
        <v>27.880353735647009</v>
      </c>
      <c r="G192" s="306">
        <f t="shared" ca="1" si="69"/>
        <v>28.658950834484312</v>
      </c>
      <c r="H192" s="307">
        <f t="shared" ca="1" si="70"/>
        <v>154.54372612198185</v>
      </c>
      <c r="I192" s="304">
        <f t="shared" ca="1" si="71"/>
        <v>157.17855689183409</v>
      </c>
      <c r="J192" s="306">
        <f t="shared" ca="1" si="72"/>
        <v>305.32020087511808</v>
      </c>
      <c r="K192" s="307">
        <f t="shared" ca="1" si="73"/>
        <v>2278.7919855272999</v>
      </c>
      <c r="L192" s="304">
        <f t="shared" ca="1" si="58"/>
        <v>2299.1549183049574</v>
      </c>
      <c r="M192" s="306">
        <f t="shared" ca="1" si="74"/>
        <v>1.3874368885812514</v>
      </c>
      <c r="N192" s="304">
        <f t="shared" ca="1" si="75"/>
        <v>79.494278056468346</v>
      </c>
      <c r="P192" s="310">
        <f t="shared" ca="1" si="76"/>
        <v>13</v>
      </c>
      <c r="Q192" s="304">
        <f t="shared" ca="1" si="77"/>
        <v>0</v>
      </c>
      <c r="R192" s="306">
        <f t="shared" ca="1" si="78"/>
        <v>0</v>
      </c>
      <c r="S192" s="307">
        <f t="shared" ca="1" si="79"/>
        <v>1.7842999999999964</v>
      </c>
      <c r="T192" s="304">
        <f t="shared" ca="1" si="59"/>
        <v>17.503982999999966</v>
      </c>
      <c r="U192" s="311">
        <f t="shared" ca="1" si="60"/>
        <v>0</v>
      </c>
      <c r="V192" s="306">
        <f t="shared" ca="1" si="61"/>
        <v>0.97440111797045714</v>
      </c>
      <c r="W192" s="304">
        <f t="shared" ca="1" si="62"/>
        <v>32.314050010537152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2278.7919855272999</v>
      </c>
      <c r="AG192" s="306">
        <f t="shared" ca="1" si="85"/>
        <v>-27.822987297818159</v>
      </c>
      <c r="AH192" s="304">
        <f t="shared" ca="1" si="86"/>
        <v>-18.17723187122019</v>
      </c>
    </row>
    <row r="193" spans="1:34" x14ac:dyDescent="0.2">
      <c r="A193" s="347">
        <f t="shared" ca="1" si="64"/>
        <v>0.01</v>
      </c>
      <c r="B193" s="304">
        <f t="shared" ca="1" si="65"/>
        <v>12.589999999999959</v>
      </c>
      <c r="D193" s="306">
        <f t="shared" ca="1" si="66"/>
        <v>-3.3021021780496986</v>
      </c>
      <c r="E193" s="307">
        <f t="shared" ca="1" si="67"/>
        <v>-27.61662444967326</v>
      </c>
      <c r="F193" s="304">
        <f t="shared" ca="1" si="68"/>
        <v>27.813338972309158</v>
      </c>
      <c r="G193" s="306">
        <f t="shared" ca="1" si="69"/>
        <v>28.625929812703816</v>
      </c>
      <c r="H193" s="307">
        <f t="shared" ca="1" si="70"/>
        <v>154.26755987748513</v>
      </c>
      <c r="I193" s="304">
        <f t="shared" ca="1" si="71"/>
        <v>156.90100027786727</v>
      </c>
      <c r="J193" s="306">
        <f t="shared" ca="1" si="72"/>
        <v>305.60662527835399</v>
      </c>
      <c r="K193" s="307">
        <f t="shared" ca="1" si="73"/>
        <v>2280.3360419572973</v>
      </c>
      <c r="L193" s="304">
        <f t="shared" ca="1" si="58"/>
        <v>2300.7233370536965</v>
      </c>
      <c r="M193" s="306">
        <f t="shared" ca="1" si="74"/>
        <v>1.387322887154576</v>
      </c>
      <c r="N193" s="304">
        <f t="shared" ca="1" si="75"/>
        <v>79.487746255861367</v>
      </c>
      <c r="P193" s="310">
        <f t="shared" ca="1" si="76"/>
        <v>13</v>
      </c>
      <c r="Q193" s="304">
        <f t="shared" ca="1" si="77"/>
        <v>0</v>
      </c>
      <c r="R193" s="306">
        <f t="shared" ca="1" si="78"/>
        <v>0</v>
      </c>
      <c r="S193" s="307">
        <f t="shared" ca="1" si="79"/>
        <v>1.7842999999999964</v>
      </c>
      <c r="T193" s="304">
        <f t="shared" ca="1" si="59"/>
        <v>17.503982999999966</v>
      </c>
      <c r="U193" s="311">
        <f t="shared" ca="1" si="60"/>
        <v>0</v>
      </c>
      <c r="V193" s="306">
        <f t="shared" ca="1" si="61"/>
        <v>0.9742486965962035</v>
      </c>
      <c r="W193" s="304">
        <f t="shared" ca="1" si="62"/>
        <v>32.19498915751268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2280.3360419572973</v>
      </c>
      <c r="AG193" s="306">
        <f t="shared" ca="1" si="85"/>
        <v>-27.75576335350457</v>
      </c>
      <c r="AH193" s="304">
        <f t="shared" ca="1" si="86"/>
        <v>-18.11021129324509</v>
      </c>
    </row>
    <row r="194" spans="1:34" x14ac:dyDescent="0.2">
      <c r="A194" s="347">
        <f t="shared" ca="1" si="64"/>
        <v>0.01</v>
      </c>
      <c r="B194" s="304">
        <f t="shared" ca="1" si="65"/>
        <v>12.599999999999959</v>
      </c>
      <c r="D194" s="306">
        <f t="shared" ca="1" si="66"/>
        <v>-3.2919580893384448</v>
      </c>
      <c r="E194" s="307">
        <f t="shared" ca="1" si="67"/>
        <v>-27.550640914860907</v>
      </c>
      <c r="F194" s="304">
        <f t="shared" ca="1" si="68"/>
        <v>27.746617863832856</v>
      </c>
      <c r="G194" s="306">
        <f t="shared" ca="1" si="69"/>
        <v>28.593010231810432</v>
      </c>
      <c r="H194" s="307">
        <f t="shared" ca="1" si="70"/>
        <v>153.99205346833651</v>
      </c>
      <c r="I194" s="304">
        <f t="shared" ca="1" si="71"/>
        <v>156.62411297597643</v>
      </c>
      <c r="J194" s="306">
        <f t="shared" ca="1" si="72"/>
        <v>305.89271997857657</v>
      </c>
      <c r="K194" s="307">
        <f t="shared" ca="1" si="73"/>
        <v>2281.8773400240266</v>
      </c>
      <c r="L194" s="304">
        <f t="shared" ca="1" si="58"/>
        <v>2302.2889807865167</v>
      </c>
      <c r="M194" s="306">
        <f t="shared" ca="1" si="74"/>
        <v>1.3872086139849515</v>
      </c>
      <c r="N194" s="304">
        <f t="shared" ca="1" si="75"/>
        <v>79.481198885530304</v>
      </c>
      <c r="P194" s="310">
        <f t="shared" ca="1" si="76"/>
        <v>13</v>
      </c>
      <c r="Q194" s="304">
        <f t="shared" ca="1" si="77"/>
        <v>0</v>
      </c>
      <c r="R194" s="306">
        <f t="shared" ca="1" si="78"/>
        <v>0</v>
      </c>
      <c r="S194" s="307">
        <f t="shared" ca="1" si="79"/>
        <v>1.7842999999999964</v>
      </c>
      <c r="T194" s="304">
        <f t="shared" ca="1" si="59"/>
        <v>17.503982999999966</v>
      </c>
      <c r="U194" s="311">
        <f t="shared" ca="1" si="60"/>
        <v>0</v>
      </c>
      <c r="V194" s="306">
        <f t="shared" ca="1" si="61"/>
        <v>0.97409656858146765</v>
      </c>
      <c r="W194" s="304">
        <f t="shared" ca="1" si="62"/>
        <v>32.076449251452857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2281.8773400240266</v>
      </c>
      <c r="AG194" s="306">
        <f t="shared" ca="1" si="85"/>
        <v>-27.688832451764753</v>
      </c>
      <c r="AH194" s="304">
        <f t="shared" ca="1" si="86"/>
        <v>-18.043484367826455</v>
      </c>
    </row>
    <row r="195" spans="1:34" x14ac:dyDescent="0.2">
      <c r="A195" s="347">
        <f t="shared" ca="1" si="64"/>
        <v>0.01</v>
      </c>
      <c r="B195" s="304">
        <f t="shared" ca="1" si="65"/>
        <v>12.609999999999959</v>
      </c>
      <c r="D195" s="306">
        <f t="shared" ca="1" si="66"/>
        <v>-3.2818571021915668</v>
      </c>
      <c r="E195" s="307">
        <f t="shared" ca="1" si="67"/>
        <v>-27.484946088533064</v>
      </c>
      <c r="F195" s="304">
        <f t="shared" ca="1" si="68"/>
        <v>27.680188719168338</v>
      </c>
      <c r="G195" s="306">
        <f t="shared" ca="1" si="69"/>
        <v>28.560191660788515</v>
      </c>
      <c r="H195" s="307">
        <f t="shared" ca="1" si="70"/>
        <v>153.71720400745119</v>
      </c>
      <c r="I195" s="304">
        <f t="shared" ca="1" si="71"/>
        <v>156.34789207267664</v>
      </c>
      <c r="J195" s="306">
        <f t="shared" ca="1" si="72"/>
        <v>306.17848598803954</v>
      </c>
      <c r="K195" s="307">
        <f t="shared" ca="1" si="73"/>
        <v>2283.4158863114053</v>
      </c>
      <c r="L195" s="304">
        <f t="shared" ca="1" si="58"/>
        <v>2303.8518561620294</v>
      </c>
      <c r="M195" s="306">
        <f t="shared" ca="1" si="74"/>
        <v>1.3870940684319526</v>
      </c>
      <c r="N195" s="304">
        <f t="shared" ca="1" si="75"/>
        <v>79.47463590878148</v>
      </c>
      <c r="P195" s="310">
        <f t="shared" ca="1" si="76"/>
        <v>13</v>
      </c>
      <c r="Q195" s="304">
        <f t="shared" ca="1" si="77"/>
        <v>0</v>
      </c>
      <c r="R195" s="306">
        <f t="shared" ca="1" si="78"/>
        <v>0</v>
      </c>
      <c r="S195" s="307">
        <f t="shared" ca="1" si="79"/>
        <v>1.7842999999999964</v>
      </c>
      <c r="T195" s="304">
        <f t="shared" ca="1" si="59"/>
        <v>17.503982999999966</v>
      </c>
      <c r="U195" s="311">
        <f t="shared" ca="1" si="60"/>
        <v>0</v>
      </c>
      <c r="V195" s="306">
        <f t="shared" ca="1" si="61"/>
        <v>0.97394473315917707</v>
      </c>
      <c r="W195" s="304">
        <f t="shared" ca="1" si="62"/>
        <v>31.958427296997105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2283.4158863114053</v>
      </c>
      <c r="AG195" s="306">
        <f t="shared" ca="1" si="85"/>
        <v>-27.622192899541702</v>
      </c>
      <c r="AH195" s="304">
        <f t="shared" ca="1" si="86"/>
        <v>-17.977049403941557</v>
      </c>
    </row>
    <row r="196" spans="1:34" x14ac:dyDescent="0.2">
      <c r="A196" s="347">
        <f t="shared" ca="1" si="64"/>
        <v>0.01</v>
      </c>
      <c r="B196" s="304">
        <f t="shared" ca="1" si="65"/>
        <v>12.619999999999958</v>
      </c>
      <c r="D196" s="306">
        <f t="shared" ca="1" si="66"/>
        <v>-3.2717989665328489</v>
      </c>
      <c r="E196" s="307">
        <f t="shared" ca="1" si="67"/>
        <v>-27.41953831064076</v>
      </c>
      <c r="F196" s="304">
        <f t="shared" ca="1" si="68"/>
        <v>27.614049859557035</v>
      </c>
      <c r="G196" s="306">
        <f t="shared" ca="1" si="69"/>
        <v>28.527473671123186</v>
      </c>
      <c r="H196" s="307">
        <f t="shared" ca="1" si="70"/>
        <v>153.44300862434477</v>
      </c>
      <c r="I196" s="304">
        <f t="shared" ca="1" si="71"/>
        <v>156.07233467129072</v>
      </c>
      <c r="J196" s="306">
        <f t="shared" ca="1" si="72"/>
        <v>306.46392431469911</v>
      </c>
      <c r="K196" s="307">
        <f t="shared" ca="1" si="73"/>
        <v>2284.9516873745642</v>
      </c>
      <c r="L196" s="304">
        <f t="shared" ref="L196:L259" ca="1" si="87">SQRT(pos_x^2+pos_z^2)</f>
        <v>2305.4119698097852</v>
      </c>
      <c r="M196" s="306">
        <f t="shared" ca="1" si="74"/>
        <v>1.3869792498527271</v>
      </c>
      <c r="N196" s="304">
        <f t="shared" ca="1" si="75"/>
        <v>79.468057288782177</v>
      </c>
      <c r="P196" s="310">
        <f t="shared" ca="1" si="76"/>
        <v>13</v>
      </c>
      <c r="Q196" s="304">
        <f t="shared" ca="1" si="77"/>
        <v>0</v>
      </c>
      <c r="R196" s="306">
        <f t="shared" ca="1" si="78"/>
        <v>0</v>
      </c>
      <c r="S196" s="307">
        <f t="shared" ca="1" si="79"/>
        <v>1.7842999999999964</v>
      </c>
      <c r="T196" s="304">
        <f t="shared" ref="T196:T259" ca="1" si="88">m*g</f>
        <v>17.503982999999966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0.97379318956570704</v>
      </c>
      <c r="W196" s="304">
        <f t="shared" ref="W196:W259" ca="1" si="91">1/2*Rho*Sref*Cx*vit_xz^2</f>
        <v>31.840920320524599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2284.9516873745642</v>
      </c>
      <c r="AG196" s="306">
        <f t="shared" ca="1" si="85"/>
        <v>-27.555843016060436</v>
      </c>
      <c r="AH196" s="304">
        <f t="shared" ca="1" si="86"/>
        <v>-17.91090472285892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12.629999999999958</v>
      </c>
      <c r="D197" s="306">
        <f t="shared" ref="D197:D260" ca="1" si="95">IF(AND(L196&lt;L_rampe,Poussee&lt;Poids*SIN(M196)),0,(-W196+Poussee)/m*COS(M196)-U196/m*SIN(M196))</f>
        <v>-3.2617834340984864</v>
      </c>
      <c r="E197" s="307">
        <f t="shared" ref="E197:E260" ca="1" si="96">IF(AND(L196&lt;L_rampe,Poussee&lt;Poids*SIN(M196)),0,(-W196+Poussee)/m*SIN(M196)+U196/m*COS(M196)-Poids/m)</f>
        <v>-27.354415933183233</v>
      </c>
      <c r="F197" s="304">
        <f t="shared" ref="F197:F260" ca="1" si="97">SQRT(acc_x^2+acc_z^2)</f>
        <v>27.548199618424213</v>
      </c>
      <c r="G197" s="306">
        <f t="shared" ref="G197:G260" ca="1" si="98">G196+acc_x*pas</f>
        <v>28.4948558367822</v>
      </c>
      <c r="H197" s="307">
        <f t="shared" ref="H197:H260" ca="1" si="99">H196+acc_z*pas</f>
        <v>153.16946446501294</v>
      </c>
      <c r="I197" s="304">
        <f t="shared" ref="I197:I260" ca="1" si="100">SQRT(vit_x^2+vit_z^2)</f>
        <v>155.79743789182754</v>
      </c>
      <c r="J197" s="306">
        <f t="shared" ref="J197:J260" ca="1" si="101">J196+0.5*(vit_x+G196)*pas*(K196&gt;=0)</f>
        <v>306.74903596223862</v>
      </c>
      <c r="K197" s="307">
        <f t="shared" ref="K197:K260" ca="1" si="102">K196+0.5*(vit_z+H196)*pas</f>
        <v>2286.484749740011</v>
      </c>
      <c r="L197" s="304">
        <f t="shared" ca="1" si="87"/>
        <v>2306.9693283304405</v>
      </c>
      <c r="M197" s="306">
        <f t="shared" ref="M197:M260" ca="1" si="103">IF(AND(L196&gt;L_rampe,G197&gt;0),ATAN2(G197,H197),$M$4)</f>
        <v>1.3868641576019869</v>
      </c>
      <c r="N197" s="304">
        <f t="shared" ref="N197:N260" ca="1" si="104">DEGREES(Beta)</f>
        <v>79.4614629885601</v>
      </c>
      <c r="P197" s="310">
        <f t="shared" ref="P197:P260" ca="1" si="105">MATCH(t-pas/2-T_ini,CdP_t)</f>
        <v>13</v>
      </c>
      <c r="Q197" s="304">
        <f t="shared" ref="Q197:Q260" ca="1" si="106">(INDEX(CdP,2,i_P+1)-INDEX(CdP,2,i_P+0))/(INDEX(CdP,1,i_P+1)-INDEX(CdP,1,i_P+0))*(t-pas/2-T_ini-INDEX(CdP,1,i_P+0))+INDEX(CdP,2,i_P+0)</f>
        <v>0</v>
      </c>
      <c r="R197" s="306">
        <f t="shared" ref="R197:R260" ca="1" si="107">Poussee/(g*ISP)</f>
        <v>0</v>
      </c>
      <c r="S197" s="307">
        <f t="shared" ref="S197:S260" ca="1" si="108">S196-Débit*pas</f>
        <v>1.7842999999999964</v>
      </c>
      <c r="T197" s="304">
        <f t="shared" ca="1" si="88"/>
        <v>17.503982999999966</v>
      </c>
      <c r="U197" s="311">
        <f t="shared" ca="1" si="89"/>
        <v>0</v>
      </c>
      <c r="V197" s="306">
        <f t="shared" ca="1" si="90"/>
        <v>0.97364193704086166</v>
      </c>
      <c r="W197" s="304">
        <f t="shared" ca="1" si="91"/>
        <v>31.723925369964864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2286.484749740011</v>
      </c>
      <c r="AG197" s="306">
        <f t="shared" ref="AG197:AG260" ca="1" si="114">IF(AND(L196&lt;L_rampe,Poussee&lt;Poids*SIN(M196)),0,(-W196+Poussee)/m-Poids*SIN(M196)/m)</f>
        <v>-27.48978113272058</v>
      </c>
      <c r="AH197" s="304">
        <f t="shared" ref="AH197:AH260" ca="1" si="115">IF(AND(L196&lt;L_rampe,Poussee&lt;Poids*SIN(M196)), g*SIN(M196), (-W196+Poussee)/m)</f>
        <v>-17.845048658030972</v>
      </c>
    </row>
    <row r="198" spans="1:34" x14ac:dyDescent="0.2">
      <c r="A198" s="347">
        <f t="shared" ca="1" si="93"/>
        <v>0.01</v>
      </c>
      <c r="B198" s="304">
        <f t="shared" ca="1" si="94"/>
        <v>12.639999999999958</v>
      </c>
      <c r="D198" s="306">
        <f t="shared" ca="1" si="95"/>
        <v>-3.2518102584212816</v>
      </c>
      <c r="E198" s="307">
        <f t="shared" ca="1" si="96"/>
        <v>-27.289577320103</v>
      </c>
      <c r="F198" s="304">
        <f t="shared" ca="1" si="97"/>
        <v>27.482636341272897</v>
      </c>
      <c r="G198" s="306">
        <f t="shared" ca="1" si="98"/>
        <v>28.462337734197988</v>
      </c>
      <c r="H198" s="307">
        <f t="shared" ca="1" si="99"/>
        <v>152.89656869181189</v>
      </c>
      <c r="I198" s="304">
        <f t="shared" ca="1" si="100"/>
        <v>155.52319887086139</v>
      </c>
      <c r="J198" s="306">
        <f t="shared" ca="1" si="101"/>
        <v>307.0338219300935</v>
      </c>
      <c r="K198" s="307">
        <f t="shared" ca="1" si="102"/>
        <v>2288.0150799057951</v>
      </c>
      <c r="L198" s="304">
        <f t="shared" ca="1" si="87"/>
        <v>2308.5239382959239</v>
      </c>
      <c r="M198" s="306">
        <f t="shared" ca="1" si="103"/>
        <v>1.3867487910319967</v>
      </c>
      <c r="N198" s="304">
        <f t="shared" ca="1" si="104"/>
        <v>79.454852971002751</v>
      </c>
      <c r="P198" s="310">
        <f t="shared" ca="1" si="105"/>
        <v>13</v>
      </c>
      <c r="Q198" s="304">
        <f t="shared" ca="1" si="106"/>
        <v>0</v>
      </c>
      <c r="R198" s="306">
        <f t="shared" ca="1" si="107"/>
        <v>0</v>
      </c>
      <c r="S198" s="307">
        <f t="shared" ca="1" si="108"/>
        <v>1.7842999999999964</v>
      </c>
      <c r="T198" s="304">
        <f t="shared" ca="1" si="88"/>
        <v>17.503982999999966</v>
      </c>
      <c r="U198" s="311">
        <f t="shared" ca="1" si="89"/>
        <v>0</v>
      </c>
      <c r="V198" s="306">
        <f t="shared" ca="1" si="90"/>
        <v>0.97349097482785385</v>
      </c>
      <c r="W198" s="304">
        <f t="shared" ca="1" si="91"/>
        <v>31.60743951461026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2288.0150799057951</v>
      </c>
      <c r="AG198" s="306">
        <f t="shared" ca="1" si="114"/>
        <v>-27.424005592990209</v>
      </c>
      <c r="AH198" s="304">
        <f t="shared" ca="1" si="115"/>
        <v>-17.779479554987908</v>
      </c>
    </row>
    <row r="199" spans="1:34" x14ac:dyDescent="0.2">
      <c r="A199" s="347">
        <f t="shared" ca="1" si="93"/>
        <v>0.01</v>
      </c>
      <c r="B199" s="304">
        <f t="shared" ca="1" si="94"/>
        <v>12.649999999999958</v>
      </c>
      <c r="D199" s="306">
        <f t="shared" ca="1" si="95"/>
        <v>-3.2418791948150192</v>
      </c>
      <c r="E199" s="307">
        <f t="shared" ca="1" si="96"/>
        <v>-27.225020847181902</v>
      </c>
      <c r="F199" s="304">
        <f t="shared" ca="1" si="97"/>
        <v>27.417358385578719</v>
      </c>
      <c r="G199" s="306">
        <f t="shared" ca="1" si="98"/>
        <v>28.429918942249838</v>
      </c>
      <c r="H199" s="307">
        <f t="shared" ca="1" si="99"/>
        <v>152.62431848334006</v>
      </c>
      <c r="I199" s="304">
        <f t="shared" ca="1" si="100"/>
        <v>155.24961476141226</v>
      </c>
      <c r="J199" s="306">
        <f t="shared" ca="1" si="101"/>
        <v>307.31828321347575</v>
      </c>
      <c r="K199" s="307">
        <f t="shared" ca="1" si="102"/>
        <v>2289.5426843416708</v>
      </c>
      <c r="L199" s="304">
        <f t="shared" ca="1" si="87"/>
        <v>2310.0758062496006</v>
      </c>
      <c r="M199" s="306">
        <f t="shared" ca="1" si="103"/>
        <v>1.3866331494925643</v>
      </c>
      <c r="N199" s="304">
        <f t="shared" ca="1" si="104"/>
        <v>79.448227198856884</v>
      </c>
      <c r="P199" s="310">
        <f t="shared" ca="1" si="105"/>
        <v>13</v>
      </c>
      <c r="Q199" s="304">
        <f t="shared" ca="1" si="106"/>
        <v>0</v>
      </c>
      <c r="R199" s="306">
        <f t="shared" ca="1" si="107"/>
        <v>0</v>
      </c>
      <c r="S199" s="307">
        <f t="shared" ca="1" si="108"/>
        <v>1.7842999999999964</v>
      </c>
      <c r="T199" s="304">
        <f t="shared" ca="1" si="88"/>
        <v>17.503982999999966</v>
      </c>
      <c r="U199" s="311">
        <f t="shared" ca="1" si="89"/>
        <v>0</v>
      </c>
      <c r="V199" s="306">
        <f t="shared" ca="1" si="90"/>
        <v>0.97334030217328493</v>
      </c>
      <c r="W199" s="304">
        <f t="shared" ca="1" si="91"/>
        <v>31.491459844930272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2289.5426843416708</v>
      </c>
      <c r="AG199" s="306">
        <f t="shared" ca="1" si="114"/>
        <v>-27.358514752300678</v>
      </c>
      <c r="AH199" s="304">
        <f t="shared" ca="1" si="115"/>
        <v>-17.714195771232596</v>
      </c>
    </row>
    <row r="200" spans="1:34" x14ac:dyDescent="0.2">
      <c r="A200" s="347">
        <f t="shared" ca="1" si="93"/>
        <v>0.01</v>
      </c>
      <c r="B200" s="304">
        <f t="shared" ca="1" si="94"/>
        <v>12.659999999999958</v>
      </c>
      <c r="D200" s="306">
        <f t="shared" ca="1" si="95"/>
        <v>-3.2319900003589677</v>
      </c>
      <c r="E200" s="307">
        <f t="shared" ca="1" si="96"/>
        <v>-27.160744901938202</v>
      </c>
      <c r="F200" s="304">
        <f t="shared" ca="1" si="97"/>
        <v>27.352364120685849</v>
      </c>
      <c r="G200" s="306">
        <f t="shared" ca="1" si="98"/>
        <v>28.397599042246249</v>
      </c>
      <c r="H200" s="307">
        <f t="shared" ca="1" si="99"/>
        <v>152.35271103432069</v>
      </c>
      <c r="I200" s="304">
        <f t="shared" ca="1" si="100"/>
        <v>154.9766827328273</v>
      </c>
      <c r="J200" s="306">
        <f t="shared" ca="1" si="101"/>
        <v>307.60242080339822</v>
      </c>
      <c r="K200" s="307">
        <f t="shared" ca="1" si="102"/>
        <v>2291.0675694892593</v>
      </c>
      <c r="L200" s="304">
        <f t="shared" ca="1" si="87"/>
        <v>2311.6249387064358</v>
      </c>
      <c r="M200" s="306">
        <f t="shared" ca="1" si="103"/>
        <v>1.38651723233103</v>
      </c>
      <c r="N200" s="304">
        <f t="shared" ca="1" si="104"/>
        <v>79.441585634727829</v>
      </c>
      <c r="P200" s="310">
        <f t="shared" ca="1" si="105"/>
        <v>13</v>
      </c>
      <c r="Q200" s="304">
        <f t="shared" ca="1" si="106"/>
        <v>0</v>
      </c>
      <c r="R200" s="306">
        <f t="shared" ca="1" si="107"/>
        <v>0</v>
      </c>
      <c r="S200" s="307">
        <f t="shared" ca="1" si="108"/>
        <v>1.7842999999999964</v>
      </c>
      <c r="T200" s="304">
        <f t="shared" ca="1" si="88"/>
        <v>17.503982999999966</v>
      </c>
      <c r="U200" s="311">
        <f t="shared" ca="1" si="89"/>
        <v>0</v>
      </c>
      <c r="V200" s="306">
        <f t="shared" ca="1" si="90"/>
        <v>0.97318991832712409</v>
      </c>
      <c r="W200" s="304">
        <f t="shared" ca="1" si="91"/>
        <v>31.375983472387752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2291.0675694892593</v>
      </c>
      <c r="AG200" s="306">
        <f t="shared" ca="1" si="114"/>
        <v>-27.293306977942503</v>
      </c>
      <c r="AH200" s="304">
        <f t="shared" ca="1" si="115"/>
        <v>-17.649195676136486</v>
      </c>
    </row>
    <row r="201" spans="1:34" x14ac:dyDescent="0.2">
      <c r="A201" s="347">
        <f t="shared" ca="1" si="93"/>
        <v>0.01</v>
      </c>
      <c r="B201" s="304">
        <f t="shared" ca="1" si="94"/>
        <v>12.669999999999957</v>
      </c>
      <c r="D201" s="306">
        <f t="shared" ca="1" si="95"/>
        <v>-3.222142433882571</v>
      </c>
      <c r="E201" s="307">
        <f t="shared" ca="1" si="96"/>
        <v>-27.096747883524728</v>
      </c>
      <c r="F201" s="304">
        <f t="shared" ca="1" si="97"/>
        <v>27.287651927704012</v>
      </c>
      <c r="G201" s="306">
        <f t="shared" ca="1" si="98"/>
        <v>28.365377617907424</v>
      </c>
      <c r="H201" s="307">
        <f t="shared" ca="1" si="99"/>
        <v>152.08174355548545</v>
      </c>
      <c r="I201" s="304">
        <f t="shared" ca="1" si="100"/>
        <v>154.70439997066316</v>
      </c>
      <c r="J201" s="306">
        <f t="shared" ca="1" si="101"/>
        <v>307.88623568669897</v>
      </c>
      <c r="K201" s="307">
        <f t="shared" ca="1" si="102"/>
        <v>2292.5897417622082</v>
      </c>
      <c r="L201" s="304">
        <f t="shared" ca="1" si="87"/>
        <v>2313.1713421531563</v>
      </c>
      <c r="M201" s="306">
        <f t="shared" ca="1" si="103"/>
        <v>1.3864010388922565</v>
      </c>
      <c r="N201" s="304">
        <f t="shared" ca="1" si="104"/>
        <v>79.434928241079007</v>
      </c>
      <c r="P201" s="310">
        <f t="shared" ca="1" si="105"/>
        <v>13</v>
      </c>
      <c r="Q201" s="304">
        <f t="shared" ca="1" si="106"/>
        <v>0</v>
      </c>
      <c r="R201" s="306">
        <f t="shared" ca="1" si="107"/>
        <v>0</v>
      </c>
      <c r="S201" s="307">
        <f t="shared" ca="1" si="108"/>
        <v>1.7842999999999964</v>
      </c>
      <c r="T201" s="304">
        <f t="shared" ca="1" si="88"/>
        <v>17.503982999999966</v>
      </c>
      <c r="U201" s="311">
        <f t="shared" ca="1" si="89"/>
        <v>0</v>
      </c>
      <c r="V201" s="306">
        <f t="shared" ca="1" si="90"/>
        <v>0.97303982254269028</v>
      </c>
      <c r="W201" s="304">
        <f t="shared" ca="1" si="91"/>
        <v>31.261007529257061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2292.5897417622082</v>
      </c>
      <c r="AG201" s="306">
        <f t="shared" ca="1" si="114"/>
        <v>-27.228380648962322</v>
      </c>
      <c r="AH201" s="304">
        <f t="shared" ca="1" si="115"/>
        <v>-17.584477650836639</v>
      </c>
    </row>
    <row r="202" spans="1:34" x14ac:dyDescent="0.2">
      <c r="A202" s="347">
        <f t="shared" ca="1" si="93"/>
        <v>0.01</v>
      </c>
      <c r="B202" s="304">
        <f t="shared" ca="1" si="94"/>
        <v>12.679999999999957</v>
      </c>
      <c r="D202" s="306">
        <f t="shared" ca="1" si="95"/>
        <v>-3.2123362559502566</v>
      </c>
      <c r="E202" s="307">
        <f t="shared" ca="1" si="96"/>
        <v>-27.033028202628088</v>
      </c>
      <c r="F202" s="304">
        <f t="shared" ca="1" si="97"/>
        <v>27.223220199406576</v>
      </c>
      <c r="G202" s="306">
        <f t="shared" ca="1" si="98"/>
        <v>28.333254255347921</v>
      </c>
      <c r="H202" s="307">
        <f t="shared" ca="1" si="99"/>
        <v>151.81141327345915</v>
      </c>
      <c r="I202" s="304">
        <f t="shared" ca="1" si="100"/>
        <v>154.43276367656961</v>
      </c>
      <c r="J202" s="306">
        <f t="shared" ca="1" si="101"/>
        <v>308.16972884606525</v>
      </c>
      <c r="K202" s="307">
        <f t="shared" ca="1" si="102"/>
        <v>2294.109207546353</v>
      </c>
      <c r="L202" s="304">
        <f t="shared" ca="1" si="87"/>
        <v>2314.7150230484126</v>
      </c>
      <c r="M202" s="306">
        <f t="shared" ca="1" si="103"/>
        <v>1.3862845685186187</v>
      </c>
      <c r="N202" s="304">
        <f t="shared" ca="1" si="104"/>
        <v>79.428254980231245</v>
      </c>
      <c r="P202" s="310">
        <f t="shared" ca="1" si="105"/>
        <v>13</v>
      </c>
      <c r="Q202" s="304">
        <f t="shared" ca="1" si="106"/>
        <v>0</v>
      </c>
      <c r="R202" s="306">
        <f t="shared" ca="1" si="107"/>
        <v>0</v>
      </c>
      <c r="S202" s="307">
        <f t="shared" ca="1" si="108"/>
        <v>1.7842999999999964</v>
      </c>
      <c r="T202" s="304">
        <f t="shared" ca="1" si="88"/>
        <v>17.503982999999966</v>
      </c>
      <c r="U202" s="311">
        <f t="shared" ca="1" si="89"/>
        <v>0</v>
      </c>
      <c r="V202" s="306">
        <f t="shared" ca="1" si="90"/>
        <v>0.972890014076631</v>
      </c>
      <c r="W202" s="304">
        <f t="shared" ca="1" si="91"/>
        <v>31.14652916844399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2294.109207546353</v>
      </c>
      <c r="AG202" s="306">
        <f t="shared" ca="1" si="114"/>
        <v>-27.163734156060933</v>
      </c>
      <c r="AH202" s="304">
        <f t="shared" ca="1" si="115"/>
        <v>-17.52004008813379</v>
      </c>
    </row>
    <row r="203" spans="1:34" x14ac:dyDescent="0.2">
      <c r="A203" s="347">
        <f t="shared" ca="1" si="93"/>
        <v>0.01</v>
      </c>
      <c r="B203" s="304">
        <f t="shared" ca="1" si="94"/>
        <v>12.689999999999957</v>
      </c>
      <c r="D203" s="306">
        <f t="shared" ca="1" si="95"/>
        <v>-3.202571228846439</v>
      </c>
      <c r="E203" s="307">
        <f t="shared" ca="1" si="96"/>
        <v>-26.96958428136891</v>
      </c>
      <c r="F203" s="304">
        <f t="shared" ca="1" si="97"/>
        <v>27.159067340129631</v>
      </c>
      <c r="G203" s="306">
        <f t="shared" ca="1" si="98"/>
        <v>28.301228543059455</v>
      </c>
      <c r="H203" s="307">
        <f t="shared" ca="1" si="99"/>
        <v>151.54171743064546</v>
      </c>
      <c r="I203" s="304">
        <f t="shared" ca="1" si="100"/>
        <v>154.16177106817398</v>
      </c>
      <c r="J203" s="306">
        <f t="shared" ca="1" si="101"/>
        <v>308.45290126005727</v>
      </c>
      <c r="K203" s="307">
        <f t="shared" ca="1" si="102"/>
        <v>2295.6259731998734</v>
      </c>
      <c r="L203" s="304">
        <f t="shared" ca="1" si="87"/>
        <v>2316.2559878229376</v>
      </c>
      <c r="M203" s="306">
        <f t="shared" ca="1" si="103"/>
        <v>1.3861678205499923</v>
      </c>
      <c r="N203" s="304">
        <f t="shared" ca="1" si="104"/>
        <v>79.421565814362225</v>
      </c>
      <c r="P203" s="310">
        <f t="shared" ca="1" si="105"/>
        <v>13</v>
      </c>
      <c r="Q203" s="304">
        <f t="shared" ca="1" si="106"/>
        <v>0</v>
      </c>
      <c r="R203" s="306">
        <f t="shared" ca="1" si="107"/>
        <v>0</v>
      </c>
      <c r="S203" s="307">
        <f t="shared" ca="1" si="108"/>
        <v>1.7842999999999964</v>
      </c>
      <c r="T203" s="304">
        <f t="shared" ca="1" si="88"/>
        <v>17.503982999999966</v>
      </c>
      <c r="U203" s="311">
        <f t="shared" ca="1" si="89"/>
        <v>0</v>
      </c>
      <c r="V203" s="306">
        <f t="shared" ca="1" si="90"/>
        <v>0.97274049218890413</v>
      </c>
      <c r="W203" s="304">
        <f t="shared" ca="1" si="91"/>
        <v>31.032545563307583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2295.6259731998734</v>
      </c>
      <c r="AG203" s="306">
        <f t="shared" ca="1" si="114"/>
        <v>-27.099365901492313</v>
      </c>
      <c r="AH203" s="304">
        <f t="shared" ca="1" si="115"/>
        <v>-17.455881392391444</v>
      </c>
    </row>
    <row r="204" spans="1:34" x14ac:dyDescent="0.2">
      <c r="A204" s="347">
        <f t="shared" ca="1" si="93"/>
        <v>0.01</v>
      </c>
      <c r="B204" s="304">
        <f t="shared" ca="1" si="94"/>
        <v>12.699999999999957</v>
      </c>
      <c r="D204" s="306">
        <f t="shared" ca="1" si="95"/>
        <v>-3.1928471165606558</v>
      </c>
      <c r="E204" s="307">
        <f t="shared" ca="1" si="96"/>
        <v>-26.906414553203021</v>
      </c>
      <c r="F204" s="304">
        <f t="shared" ca="1" si="97"/>
        <v>27.095191765672098</v>
      </c>
      <c r="G204" s="306">
        <f t="shared" ca="1" si="98"/>
        <v>28.269300071893849</v>
      </c>
      <c r="H204" s="307">
        <f t="shared" ca="1" si="99"/>
        <v>151.27265328511342</v>
      </c>
      <c r="I204" s="304">
        <f t="shared" ca="1" si="100"/>
        <v>153.89141937896639</v>
      </c>
      <c r="J204" s="306">
        <f t="shared" ca="1" si="101"/>
        <v>308.73575390313204</v>
      </c>
      <c r="K204" s="307">
        <f t="shared" ca="1" si="102"/>
        <v>2297.140045053452</v>
      </c>
      <c r="L204" s="304">
        <f t="shared" ca="1" si="87"/>
        <v>2317.7942428797064</v>
      </c>
      <c r="M204" s="306">
        <f t="shared" ca="1" si="103"/>
        <v>1.3860507943237443</v>
      </c>
      <c r="N204" s="304">
        <f t="shared" ca="1" si="104"/>
        <v>79.414860705505873</v>
      </c>
      <c r="P204" s="310">
        <f t="shared" ca="1" si="105"/>
        <v>13</v>
      </c>
      <c r="Q204" s="304">
        <f t="shared" ca="1" si="106"/>
        <v>0</v>
      </c>
      <c r="R204" s="306">
        <f t="shared" ca="1" si="107"/>
        <v>0</v>
      </c>
      <c r="S204" s="307">
        <f t="shared" ca="1" si="108"/>
        <v>1.7842999999999964</v>
      </c>
      <c r="T204" s="304">
        <f t="shared" ca="1" si="88"/>
        <v>17.503982999999966</v>
      </c>
      <c r="U204" s="311">
        <f t="shared" ca="1" si="89"/>
        <v>0</v>
      </c>
      <c r="V204" s="306">
        <f t="shared" ca="1" si="90"/>
        <v>0.97259125614275765</v>
      </c>
      <c r="W204" s="304">
        <f t="shared" ca="1" si="91"/>
        <v>30.919053907483569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 t="e">
        <f t="shared" ca="1" si="112"/>
        <v>#N/A</v>
      </c>
      <c r="AD204" s="323" t="e">
        <f t="shared" ca="1" si="113"/>
        <v>#N/A</v>
      </c>
      <c r="AE204" s="324">
        <f t="shared" ca="1" si="92"/>
        <v>2297.140045053452</v>
      </c>
      <c r="AG204" s="306">
        <f t="shared" ca="1" si="114"/>
        <v>-27.035274298963706</v>
      </c>
      <c r="AH204" s="304">
        <f t="shared" ca="1" si="115"/>
        <v>-17.391999979435994</v>
      </c>
    </row>
    <row r="205" spans="1:34" x14ac:dyDescent="0.2">
      <c r="A205" s="347">
        <f t="shared" ca="1" si="93"/>
        <v>0.1</v>
      </c>
      <c r="B205" s="304">
        <f t="shared" ca="1" si="94"/>
        <v>12.799999999999956</v>
      </c>
      <c r="D205" s="306">
        <f t="shared" ca="1" si="95"/>
        <v>-3.1831636847728393</v>
      </c>
      <c r="E205" s="307">
        <f t="shared" ca="1" si="96"/>
        <v>-26.843517462823655</v>
      </c>
      <c r="F205" s="304">
        <f t="shared" ca="1" si="97"/>
        <v>27.031591903196805</v>
      </c>
      <c r="G205" s="306">
        <f t="shared" ca="1" si="98"/>
        <v>27.950983703416565</v>
      </c>
      <c r="H205" s="307">
        <f t="shared" ca="1" si="99"/>
        <v>148.58830153883105</v>
      </c>
      <c r="I205" s="304">
        <f t="shared" ca="1" si="100"/>
        <v>151.19438099408072</v>
      </c>
      <c r="J205" s="306">
        <f t="shared" ca="1" si="101"/>
        <v>311.54676809189755</v>
      </c>
      <c r="K205" s="307">
        <f t="shared" ca="1" si="102"/>
        <v>2312.1330927946492</v>
      </c>
      <c r="L205" s="304">
        <f t="shared" ca="1" si="87"/>
        <v>2333.0282526160408</v>
      </c>
      <c r="M205" s="306">
        <f t="shared" ca="1" si="103"/>
        <v>1.3848589099953985</v>
      </c>
      <c r="N205" s="304">
        <f t="shared" ca="1" si="104"/>
        <v>79.346570763823877</v>
      </c>
      <c r="P205" s="310">
        <f t="shared" ca="1" si="105"/>
        <v>23</v>
      </c>
      <c r="Q205" s="304">
        <f t="shared" ca="1" si="106"/>
        <v>0</v>
      </c>
      <c r="R205" s="306">
        <f t="shared" ca="1" si="107"/>
        <v>0</v>
      </c>
      <c r="S205" s="307">
        <f t="shared" ca="1" si="108"/>
        <v>1.7842999999999964</v>
      </c>
      <c r="T205" s="304">
        <f t="shared" ca="1" si="88"/>
        <v>17.503982999999966</v>
      </c>
      <c r="U205" s="311">
        <f t="shared" ca="1" si="89"/>
        <v>0</v>
      </c>
      <c r="V205" s="306">
        <f t="shared" ca="1" si="90"/>
        <v>0.97111454432493427</v>
      </c>
      <c r="W205" s="304">
        <f t="shared" ca="1" si="91"/>
        <v>29.799486898324425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2312.1330927946492</v>
      </c>
      <c r="AG205" s="306">
        <f t="shared" ca="1" si="114"/>
        <v>-26.971457773536635</v>
      </c>
      <c r="AH205" s="304">
        <f t="shared" ca="1" si="115"/>
        <v>-17.328394276457789</v>
      </c>
    </row>
    <row r="206" spans="1:34" x14ac:dyDescent="0.2">
      <c r="A206" s="347">
        <f t="shared" ca="1" si="93"/>
        <v>0.1</v>
      </c>
      <c r="B206" s="304">
        <f t="shared" ca="1" si="94"/>
        <v>12.899999999999956</v>
      </c>
      <c r="D206" s="306">
        <f t="shared" ca="1" si="95"/>
        <v>-3.087467228073451</v>
      </c>
      <c r="E206" s="307">
        <f t="shared" ca="1" si="96"/>
        <v>-26.223072124547812</v>
      </c>
      <c r="F206" s="304">
        <f t="shared" ca="1" si="97"/>
        <v>26.404203558025834</v>
      </c>
      <c r="G206" s="306">
        <f t="shared" ca="1" si="98"/>
        <v>27.642236980609219</v>
      </c>
      <c r="H206" s="307">
        <f t="shared" ca="1" si="99"/>
        <v>145.96599432637626</v>
      </c>
      <c r="I206" s="304">
        <f t="shared" ca="1" si="100"/>
        <v>148.56030682850607</v>
      </c>
      <c r="J206" s="306">
        <f t="shared" ca="1" si="101"/>
        <v>314.32642912609884</v>
      </c>
      <c r="K206" s="307">
        <f t="shared" ca="1" si="102"/>
        <v>2326.8608075879097</v>
      </c>
      <c r="L206" s="304">
        <f t="shared" ca="1" si="87"/>
        <v>2347.9953837126304</v>
      </c>
      <c r="M206" s="306">
        <f t="shared" ca="1" si="103"/>
        <v>1.3836381570712553</v>
      </c>
      <c r="N206" s="304">
        <f t="shared" ca="1" si="104"/>
        <v>79.276626773442203</v>
      </c>
      <c r="P206" s="310">
        <f t="shared" ca="1" si="105"/>
        <v>23</v>
      </c>
      <c r="Q206" s="304">
        <f t="shared" ca="1" si="106"/>
        <v>0</v>
      </c>
      <c r="R206" s="306">
        <f t="shared" ca="1" si="107"/>
        <v>0</v>
      </c>
      <c r="S206" s="307">
        <f t="shared" ca="1" si="108"/>
        <v>1.7842999999999964</v>
      </c>
      <c r="T206" s="304">
        <f t="shared" ca="1" si="88"/>
        <v>17.503982999999966</v>
      </c>
      <c r="U206" s="311">
        <f t="shared" ca="1" si="89"/>
        <v>0</v>
      </c>
      <c r="V206" s="306">
        <f t="shared" ca="1" si="90"/>
        <v>0.96966589693375427</v>
      </c>
      <c r="W206" s="304">
        <f t="shared" ca="1" si="91"/>
        <v>28.727294212717638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2326.8608075879097</v>
      </c>
      <c r="AG206" s="306">
        <f t="shared" ca="1" si="114"/>
        <v>-26.341848606460204</v>
      </c>
      <c r="AH206" s="304">
        <f t="shared" ca="1" si="115"/>
        <v>-16.700939807389162</v>
      </c>
    </row>
    <row r="207" spans="1:34" x14ac:dyDescent="0.2">
      <c r="A207" s="347">
        <f t="shared" ca="1" si="93"/>
        <v>0.1</v>
      </c>
      <c r="B207" s="304">
        <f t="shared" ca="1" si="94"/>
        <v>12.999999999999956</v>
      </c>
      <c r="D207" s="306">
        <f t="shared" ca="1" si="95"/>
        <v>-2.9956925888688786</v>
      </c>
      <c r="E207" s="307">
        <f t="shared" ca="1" si="96"/>
        <v>-25.628880640417876</v>
      </c>
      <c r="F207" s="304">
        <f t="shared" ca="1" si="97"/>
        <v>25.803366000733124</v>
      </c>
      <c r="G207" s="306">
        <f t="shared" ca="1" si="98"/>
        <v>27.342667721722332</v>
      </c>
      <c r="H207" s="307">
        <f t="shared" ca="1" si="99"/>
        <v>143.40310626233446</v>
      </c>
      <c r="I207" s="304">
        <f t="shared" ca="1" si="100"/>
        <v>145.98654857152732</v>
      </c>
      <c r="J207" s="306">
        <f t="shared" ca="1" si="101"/>
        <v>317.07567436121542</v>
      </c>
      <c r="K207" s="307">
        <f t="shared" ca="1" si="102"/>
        <v>2341.3292626173452</v>
      </c>
      <c r="L207" s="304">
        <f t="shared" ca="1" si="87"/>
        <v>2362.7017795862221</v>
      </c>
      <c r="M207" s="306">
        <f t="shared" ca="1" si="103"/>
        <v>1.3823878212381804</v>
      </c>
      <c r="N207" s="304">
        <f t="shared" ca="1" si="104"/>
        <v>79.204987807233039</v>
      </c>
      <c r="P207" s="310">
        <f t="shared" ca="1" si="105"/>
        <v>23</v>
      </c>
      <c r="Q207" s="304">
        <f t="shared" ca="1" si="106"/>
        <v>0</v>
      </c>
      <c r="R207" s="306">
        <f t="shared" ca="1" si="107"/>
        <v>0</v>
      </c>
      <c r="S207" s="307">
        <f t="shared" ca="1" si="108"/>
        <v>1.7842999999999964</v>
      </c>
      <c r="T207" s="304">
        <f t="shared" ca="1" si="88"/>
        <v>17.503982999999966</v>
      </c>
      <c r="U207" s="311">
        <f t="shared" ca="1" si="89"/>
        <v>0</v>
      </c>
      <c r="V207" s="306">
        <f t="shared" ca="1" si="90"/>
        <v>0.96824461065032985</v>
      </c>
      <c r="W207" s="304">
        <f t="shared" ca="1" si="91"/>
        <v>27.699874125837741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>
        <f t="shared" ca="1" si="112"/>
        <v>12.999999999999956</v>
      </c>
      <c r="AD207" s="323">
        <f t="shared" ca="1" si="113"/>
        <v>317.07567436121542</v>
      </c>
      <c r="AE207" s="324">
        <f t="shared" ca="1" si="92"/>
        <v>2341.3292626173452</v>
      </c>
      <c r="AG207" s="306">
        <f t="shared" ca="1" si="114"/>
        <v>-25.738723702470629</v>
      </c>
      <c r="AH207" s="304">
        <f t="shared" ca="1" si="115"/>
        <v>-16.100035987624107</v>
      </c>
    </row>
    <row r="208" spans="1:34" x14ac:dyDescent="0.2">
      <c r="A208" s="347">
        <f t="shared" ca="1" si="93"/>
        <v>0.1</v>
      </c>
      <c r="B208" s="304">
        <f t="shared" ca="1" si="94"/>
        <v>13.099999999999955</v>
      </c>
      <c r="D208" s="306">
        <f t="shared" ca="1" si="95"/>
        <v>-2.9076221176900572</v>
      </c>
      <c r="E208" s="307">
        <f t="shared" ca="1" si="96"/>
        <v>-25.059501173675404</v>
      </c>
      <c r="F208" s="304">
        <f t="shared" ca="1" si="97"/>
        <v>25.227621081915739</v>
      </c>
      <c r="G208" s="306">
        <f t="shared" ca="1" si="98"/>
        <v>27.051905509953325</v>
      </c>
      <c r="H208" s="307">
        <f t="shared" ca="1" si="99"/>
        <v>140.89715614496691</v>
      </c>
      <c r="I208" s="304">
        <f t="shared" ca="1" si="100"/>
        <v>143.47060396282797</v>
      </c>
      <c r="J208" s="306">
        <f t="shared" ca="1" si="101"/>
        <v>319.79540302279918</v>
      </c>
      <c r="K208" s="307">
        <f t="shared" ca="1" si="102"/>
        <v>2355.5442757377104</v>
      </c>
      <c r="L208" s="304">
        <f t="shared" ca="1" si="87"/>
        <v>2377.1533258827058</v>
      </c>
      <c r="M208" s="306">
        <f t="shared" ca="1" si="103"/>
        <v>1.3811071600638023</v>
      </c>
      <c r="N208" s="304">
        <f t="shared" ca="1" si="104"/>
        <v>79.131611326954911</v>
      </c>
      <c r="P208" s="310">
        <f t="shared" ca="1" si="105"/>
        <v>23</v>
      </c>
      <c r="Q208" s="304">
        <f t="shared" ca="1" si="106"/>
        <v>0</v>
      </c>
      <c r="R208" s="306">
        <f t="shared" ca="1" si="107"/>
        <v>0</v>
      </c>
      <c r="S208" s="307">
        <f t="shared" ca="1" si="108"/>
        <v>1.7842999999999964</v>
      </c>
      <c r="T208" s="304">
        <f t="shared" ca="1" si="88"/>
        <v>17.503982999999966</v>
      </c>
      <c r="U208" s="311">
        <f t="shared" ca="1" si="89"/>
        <v>0</v>
      </c>
      <c r="V208" s="306">
        <f t="shared" ca="1" si="90"/>
        <v>0.96685001249015889</v>
      </c>
      <c r="W208" s="304">
        <f t="shared" ca="1" si="91"/>
        <v>26.714803577802428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2355.5442757377104</v>
      </c>
      <c r="AG208" s="306">
        <f t="shared" ca="1" si="114"/>
        <v>-25.160622612530133</v>
      </c>
      <c r="AH208" s="304">
        <f t="shared" ca="1" si="115"/>
        <v>-15.524224696428737</v>
      </c>
    </row>
    <row r="209" spans="1:34" x14ac:dyDescent="0.2">
      <c r="A209" s="347">
        <f t="shared" ca="1" si="93"/>
        <v>0.1</v>
      </c>
      <c r="B209" s="304">
        <f t="shared" ca="1" si="94"/>
        <v>13.199999999999955</v>
      </c>
      <c r="D209" s="306">
        <f t="shared" ca="1" si="95"/>
        <v>-2.823053087496104</v>
      </c>
      <c r="E209" s="307">
        <f t="shared" ca="1" si="96"/>
        <v>-24.513590899654737</v>
      </c>
      <c r="F209" s="304">
        <f t="shared" ca="1" si="97"/>
        <v>24.675610783331319</v>
      </c>
      <c r="G209" s="306">
        <f t="shared" ca="1" si="98"/>
        <v>26.769600201203716</v>
      </c>
      <c r="H209" s="307">
        <f t="shared" ca="1" si="99"/>
        <v>138.44579705500144</v>
      </c>
      <c r="I209" s="304">
        <f t="shared" ca="1" si="100"/>
        <v>141.01010679070819</v>
      </c>
      <c r="J209" s="306">
        <f t="shared" ca="1" si="101"/>
        <v>322.48647830835705</v>
      </c>
      <c r="K209" s="307">
        <f t="shared" ca="1" si="102"/>
        <v>2369.5114233977088</v>
      </c>
      <c r="L209" s="304">
        <f t="shared" ca="1" si="87"/>
        <v>2391.3556645350691</v>
      </c>
      <c r="M209" s="306">
        <f t="shared" ca="1" si="103"/>
        <v>1.3797954017491039</v>
      </c>
      <c r="N209" s="304">
        <f t="shared" ca="1" si="104"/>
        <v>79.056453111781494</v>
      </c>
      <c r="P209" s="310">
        <f t="shared" ca="1" si="105"/>
        <v>23</v>
      </c>
      <c r="Q209" s="304">
        <f t="shared" ca="1" si="106"/>
        <v>0</v>
      </c>
      <c r="R209" s="306">
        <f t="shared" ca="1" si="107"/>
        <v>0</v>
      </c>
      <c r="S209" s="307">
        <f t="shared" ca="1" si="108"/>
        <v>1.7842999999999964</v>
      </c>
      <c r="T209" s="304">
        <f t="shared" ca="1" si="88"/>
        <v>17.503982999999966</v>
      </c>
      <c r="U209" s="311">
        <f t="shared" ca="1" si="89"/>
        <v>0</v>
      </c>
      <c r="V209" s="306">
        <f t="shared" ca="1" si="90"/>
        <v>0.96548145811301711</v>
      </c>
      <c r="W209" s="304">
        <f t="shared" ca="1" si="91"/>
        <v>25.769823600575851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2369.5114233977088</v>
      </c>
      <c r="AG209" s="306">
        <f t="shared" ca="1" si="114"/>
        <v>-24.606184908440767</v>
      </c>
      <c r="AH209" s="304">
        <f t="shared" ca="1" si="115"/>
        <v>-14.972147944741625</v>
      </c>
    </row>
    <row r="210" spans="1:34" x14ac:dyDescent="0.2">
      <c r="A210" s="347">
        <f t="shared" ca="1" si="93"/>
        <v>0.1</v>
      </c>
      <c r="B210" s="304">
        <f t="shared" ca="1" si="94"/>
        <v>13.299999999999955</v>
      </c>
      <c r="D210" s="306">
        <f t="shared" ca="1" si="95"/>
        <v>-2.7417964759141453</v>
      </c>
      <c r="E210" s="307">
        <f t="shared" ca="1" si="96"/>
        <v>-23.989897929647043</v>
      </c>
      <c r="F210" s="304">
        <f t="shared" ca="1" si="97"/>
        <v>24.146069050473177</v>
      </c>
      <c r="G210" s="306">
        <f t="shared" ca="1" si="98"/>
        <v>26.495420553612302</v>
      </c>
      <c r="H210" s="307">
        <f t="shared" ca="1" si="99"/>
        <v>136.04680726203674</v>
      </c>
      <c r="I210" s="304">
        <f t="shared" ca="1" si="100"/>
        <v>138.60281770767344</v>
      </c>
      <c r="J210" s="306">
        <f t="shared" ca="1" si="101"/>
        <v>325.14972934609784</v>
      </c>
      <c r="K210" s="307">
        <f t="shared" ca="1" si="102"/>
        <v>2383.2360536135607</v>
      </c>
      <c r="L210" s="304">
        <f t="shared" ca="1" si="87"/>
        <v>2405.3142068630823</v>
      </c>
      <c r="M210" s="306">
        <f t="shared" ca="1" si="103"/>
        <v>1.3784517438104211</v>
      </c>
      <c r="N210" s="304">
        <f t="shared" ca="1" si="104"/>
        <v>78.979467182785726</v>
      </c>
      <c r="P210" s="310">
        <f t="shared" ca="1" si="105"/>
        <v>23</v>
      </c>
      <c r="Q210" s="304">
        <f t="shared" ca="1" si="106"/>
        <v>0</v>
      </c>
      <c r="R210" s="306">
        <f t="shared" ca="1" si="107"/>
        <v>0</v>
      </c>
      <c r="S210" s="307">
        <f t="shared" ca="1" si="108"/>
        <v>1.7842999999999964</v>
      </c>
      <c r="T210" s="304">
        <f t="shared" ca="1" si="88"/>
        <v>17.503982999999966</v>
      </c>
      <c r="U210" s="311">
        <f t="shared" ca="1" si="89"/>
        <v>0</v>
      </c>
      <c r="V210" s="306">
        <f t="shared" ca="1" si="90"/>
        <v>0.96413833025003626</v>
      </c>
      <c r="W210" s="304">
        <f t="shared" ca="1" si="91"/>
        <v>24.862826118699783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2383.2360536135607</v>
      </c>
      <c r="AG210" s="306">
        <f t="shared" ca="1" si="114"/>
        <v>-24.074142009337848</v>
      </c>
      <c r="AH210" s="304">
        <f t="shared" ca="1" si="115"/>
        <v>-14.44253970777106</v>
      </c>
    </row>
    <row r="211" spans="1:34" x14ac:dyDescent="0.2">
      <c r="A211" s="347">
        <f t="shared" ca="1" si="93"/>
        <v>0.1</v>
      </c>
      <c r="B211" s="304">
        <f t="shared" ca="1" si="94"/>
        <v>13.399999999999954</v>
      </c>
      <c r="D211" s="306">
        <f t="shared" ca="1" si="95"/>
        <v>-2.6636758622896375</v>
      </c>
      <c r="E211" s="307">
        <f t="shared" ca="1" si="96"/>
        <v>-23.487253996108066</v>
      </c>
      <c r="F211" s="304">
        <f t="shared" ca="1" si="97"/>
        <v>23.637814395096658</v>
      </c>
      <c r="G211" s="306">
        <f t="shared" ca="1" si="98"/>
        <v>26.229052967383339</v>
      </c>
      <c r="H211" s="307">
        <f t="shared" ca="1" si="99"/>
        <v>133.69808186242594</v>
      </c>
      <c r="I211" s="304">
        <f t="shared" ca="1" si="100"/>
        <v>136.2466157864398</v>
      </c>
      <c r="J211" s="306">
        <f t="shared" ca="1" si="101"/>
        <v>327.78595302214762</v>
      </c>
      <c r="K211" s="307">
        <f t="shared" ca="1" si="102"/>
        <v>2396.7232980697836</v>
      </c>
      <c r="L211" s="304">
        <f t="shared" ca="1" si="87"/>
        <v>2419.0341457923114</v>
      </c>
      <c r="M211" s="306">
        <f t="shared" ca="1" si="103"/>
        <v>1.3770753516863969</v>
      </c>
      <c r="N211" s="304">
        <f t="shared" ca="1" si="104"/>
        <v>78.900605723124102</v>
      </c>
      <c r="P211" s="310">
        <f t="shared" ca="1" si="105"/>
        <v>23</v>
      </c>
      <c r="Q211" s="304">
        <f t="shared" ca="1" si="106"/>
        <v>0</v>
      </c>
      <c r="R211" s="306">
        <f t="shared" ca="1" si="107"/>
        <v>0</v>
      </c>
      <c r="S211" s="307">
        <f t="shared" ca="1" si="108"/>
        <v>1.7842999999999964</v>
      </c>
      <c r="T211" s="304">
        <f t="shared" ca="1" si="88"/>
        <v>17.503982999999966</v>
      </c>
      <c r="U211" s="311">
        <f t="shared" ca="1" si="89"/>
        <v>0</v>
      </c>
      <c r="V211" s="306">
        <f t="shared" ca="1" si="90"/>
        <v>0.96282003723834753</v>
      </c>
      <c r="W211" s="304">
        <f t="shared" ca="1" si="91"/>
        <v>23.99184197739665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2396.7232980697836</v>
      </c>
      <c r="AG211" s="306">
        <f t="shared" ca="1" si="114"/>
        <v>-23.563309777735306</v>
      </c>
      <c r="AH211" s="304">
        <f t="shared" ca="1" si="115"/>
        <v>-13.934218527545722</v>
      </c>
    </row>
    <row r="212" spans="1:34" x14ac:dyDescent="0.2">
      <c r="A212" s="347">
        <f t="shared" ca="1" si="93"/>
        <v>0.1</v>
      </c>
      <c r="B212" s="304">
        <f t="shared" ca="1" si="94"/>
        <v>13.499999999999954</v>
      </c>
      <c r="D212" s="306">
        <f t="shared" ca="1" si="95"/>
        <v>-2.5885264273080026</v>
      </c>
      <c r="E212" s="307">
        <f t="shared" ca="1" si="96"/>
        <v>-23.004567818046688</v>
      </c>
      <c r="F212" s="304">
        <f t="shared" ca="1" si="97"/>
        <v>23.149743185616149</v>
      </c>
      <c r="G212" s="306">
        <f t="shared" ca="1" si="98"/>
        <v>25.970200324652538</v>
      </c>
      <c r="H212" s="307">
        <f t="shared" ca="1" si="99"/>
        <v>131.39762508062128</v>
      </c>
      <c r="I212" s="304">
        <f t="shared" ca="1" si="100"/>
        <v>133.93949074761372</v>
      </c>
      <c r="J212" s="306">
        <f t="shared" ca="1" si="101"/>
        <v>330.39591568674939</v>
      </c>
      <c r="K212" s="307">
        <f t="shared" ca="1" si="102"/>
        <v>2409.978083416936</v>
      </c>
      <c r="L212" s="304">
        <f t="shared" ca="1" si="87"/>
        <v>2432.5204672628047</v>
      </c>
      <c r="M212" s="306">
        <f t="shared" ca="1" si="103"/>
        <v>1.3756653572651121</v>
      </c>
      <c r="N212" s="304">
        <f t="shared" ca="1" si="104"/>
        <v>78.819818993647488</v>
      </c>
      <c r="P212" s="310">
        <f t="shared" ca="1" si="105"/>
        <v>23</v>
      </c>
      <c r="Q212" s="304">
        <f t="shared" ca="1" si="106"/>
        <v>0</v>
      </c>
      <c r="R212" s="306">
        <f t="shared" ca="1" si="107"/>
        <v>0</v>
      </c>
      <c r="S212" s="307">
        <f t="shared" ca="1" si="108"/>
        <v>1.7842999999999964</v>
      </c>
      <c r="T212" s="304">
        <f t="shared" ca="1" si="88"/>
        <v>17.503982999999966</v>
      </c>
      <c r="U212" s="311">
        <f t="shared" ca="1" si="89"/>
        <v>0</v>
      </c>
      <c r="V212" s="306">
        <f t="shared" ca="1" si="90"/>
        <v>0.96152601165457185</v>
      </c>
      <c r="W212" s="304">
        <f t="shared" ca="1" si="91"/>
        <v>23.155030068963043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2409.978083416936</v>
      </c>
      <c r="AG212" s="306">
        <f t="shared" ca="1" si="114"/>
        <v>-23.07258180301266</v>
      </c>
      <c r="AH212" s="304">
        <f t="shared" ca="1" si="115"/>
        <v>-13.446080803338395</v>
      </c>
    </row>
    <row r="213" spans="1:34" x14ac:dyDescent="0.2">
      <c r="A213" s="347">
        <f t="shared" ca="1" si="93"/>
        <v>0.1</v>
      </c>
      <c r="B213" s="304">
        <f t="shared" ca="1" si="94"/>
        <v>13.599999999999953</v>
      </c>
      <c r="D213" s="306">
        <f t="shared" ca="1" si="95"/>
        <v>-2.5161940444004425</v>
      </c>
      <c r="E213" s="307">
        <f t="shared" ca="1" si="96"/>
        <v>-22.54081907506021</v>
      </c>
      <c r="F213" s="304">
        <f t="shared" ca="1" si="97"/>
        <v>22.680823553029867</v>
      </c>
      <c r="G213" s="306">
        <f t="shared" ca="1" si="98"/>
        <v>25.718580920212492</v>
      </c>
      <c r="H213" s="307">
        <f t="shared" ca="1" si="99"/>
        <v>129.14354317311526</v>
      </c>
      <c r="I213" s="304">
        <f t="shared" ca="1" si="100"/>
        <v>131.67953579754069</v>
      </c>
      <c r="J213" s="306">
        <f t="shared" ca="1" si="101"/>
        <v>332.98035474899262</v>
      </c>
      <c r="K213" s="307">
        <f t="shared" ca="1" si="102"/>
        <v>2423.005141829623</v>
      </c>
      <c r="L213" s="304">
        <f t="shared" ca="1" si="87"/>
        <v>2445.7779608912901</v>
      </c>
      <c r="M213" s="306">
        <f t="shared" ca="1" si="103"/>
        <v>1.3742208573262553</v>
      </c>
      <c r="N213" s="304">
        <f t="shared" ca="1" si="104"/>
        <v>78.737055243644079</v>
      </c>
      <c r="P213" s="310">
        <f t="shared" ca="1" si="105"/>
        <v>23</v>
      </c>
      <c r="Q213" s="304">
        <f t="shared" ca="1" si="106"/>
        <v>0</v>
      </c>
      <c r="R213" s="306">
        <f t="shared" ca="1" si="107"/>
        <v>0</v>
      </c>
      <c r="S213" s="307">
        <f t="shared" ca="1" si="108"/>
        <v>1.7842999999999964</v>
      </c>
      <c r="T213" s="304">
        <f t="shared" ca="1" si="88"/>
        <v>17.503982999999966</v>
      </c>
      <c r="U213" s="311">
        <f t="shared" ca="1" si="89"/>
        <v>0</v>
      </c>
      <c r="V213" s="306">
        <f t="shared" ca="1" si="90"/>
        <v>0.96025570903926594</v>
      </c>
      <c r="W213" s="304">
        <f t="shared" ca="1" si="91"/>
        <v>22.350667443482241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2423.005141829623</v>
      </c>
      <c r="AG213" s="306">
        <f t="shared" ca="1" si="114"/>
        <v>-22.600923299968478</v>
      </c>
      <c r="AH213" s="304">
        <f t="shared" ca="1" si="115"/>
        <v>-12.977094697619846</v>
      </c>
    </row>
    <row r="214" spans="1:34" x14ac:dyDescent="0.2">
      <c r="A214" s="347">
        <f t="shared" ca="1" si="93"/>
        <v>0.1</v>
      </c>
      <c r="B214" s="304">
        <f t="shared" ca="1" si="94"/>
        <v>13.699999999999953</v>
      </c>
      <c r="D214" s="306">
        <f t="shared" ca="1" si="95"/>
        <v>-2.4465344534096878</v>
      </c>
      <c r="E214" s="307">
        <f t="shared" ca="1" si="96"/>
        <v>-22.095052926855551</v>
      </c>
      <c r="F214" s="304">
        <f t="shared" ca="1" si="97"/>
        <v>22.230089848497435</v>
      </c>
      <c r="G214" s="306">
        <f t="shared" ca="1" si="98"/>
        <v>25.473927474871523</v>
      </c>
      <c r="H214" s="307">
        <f t="shared" ca="1" si="99"/>
        <v>126.93403788042971</v>
      </c>
      <c r="I214" s="304">
        <f t="shared" ca="1" si="100"/>
        <v>129.46494102121</v>
      </c>
      <c r="J214" s="306">
        <f t="shared" ca="1" si="101"/>
        <v>335.53998016874681</v>
      </c>
      <c r="K214" s="307">
        <f t="shared" ca="1" si="102"/>
        <v>2435.8090208823</v>
      </c>
      <c r="L214" s="304">
        <f t="shared" ca="1" si="87"/>
        <v>2458.8112299449162</v>
      </c>
      <c r="M214" s="306">
        <f t="shared" ca="1" si="103"/>
        <v>1.372740911892808</v>
      </c>
      <c r="N214" s="304">
        <f t="shared" ca="1" si="104"/>
        <v>78.652260616397896</v>
      </c>
      <c r="P214" s="310">
        <f t="shared" ca="1" si="105"/>
        <v>23</v>
      </c>
      <c r="Q214" s="304">
        <f t="shared" ca="1" si="106"/>
        <v>0</v>
      </c>
      <c r="R214" s="306">
        <f t="shared" ca="1" si="107"/>
        <v>0</v>
      </c>
      <c r="S214" s="307">
        <f t="shared" ca="1" si="108"/>
        <v>1.7842999999999964</v>
      </c>
      <c r="T214" s="304">
        <f t="shared" ca="1" si="88"/>
        <v>17.503982999999966</v>
      </c>
      <c r="U214" s="311">
        <f t="shared" ca="1" si="89"/>
        <v>0</v>
      </c>
      <c r="V214" s="306">
        <f t="shared" ca="1" si="90"/>
        <v>0.95900860670515042</v>
      </c>
      <c r="W214" s="304">
        <f t="shared" ca="1" si="91"/>
        <v>21.577140303050676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2435.8090208823</v>
      </c>
      <c r="AG214" s="306">
        <f t="shared" ca="1" si="114"/>
        <v>-22.147365558530534</v>
      </c>
      <c r="AH214" s="304">
        <f t="shared" ca="1" si="115"/>
        <v>-12.526294593668265</v>
      </c>
    </row>
    <row r="215" spans="1:34" x14ac:dyDescent="0.2">
      <c r="A215" s="347">
        <f t="shared" ca="1" si="93"/>
        <v>0.1</v>
      </c>
      <c r="B215" s="304">
        <f t="shared" ca="1" si="94"/>
        <v>13.799999999999953</v>
      </c>
      <c r="D215" s="306">
        <f t="shared" ca="1" si="95"/>
        <v>-2.3794125080918684</v>
      </c>
      <c r="E215" s="307">
        <f t="shared" ca="1" si="96"/>
        <v>-21.666375022392373</v>
      </c>
      <c r="F215" s="304">
        <f t="shared" ca="1" si="97"/>
        <v>21.796637596074586</v>
      </c>
      <c r="G215" s="306">
        <f t="shared" ca="1" si="98"/>
        <v>25.235986224062337</v>
      </c>
      <c r="H215" s="307">
        <f t="shared" ca="1" si="99"/>
        <v>124.76740037819047</v>
      </c>
      <c r="I215" s="304">
        <f t="shared" ca="1" si="100"/>
        <v>127.29398728075394</v>
      </c>
      <c r="J215" s="306">
        <f t="shared" ca="1" si="101"/>
        <v>338.07547585369349</v>
      </c>
      <c r="K215" s="307">
        <f t="shared" ca="1" si="102"/>
        <v>2448.3940927952312</v>
      </c>
      <c r="L215" s="304">
        <f t="shared" ca="1" si="87"/>
        <v>2471.6247006793496</v>
      </c>
      <c r="M215" s="306">
        <f t="shared" ca="1" si="103"/>
        <v>1.3712245424863003</v>
      </c>
      <c r="N215" s="304">
        <f t="shared" ca="1" si="104"/>
        <v>78.565379049222244</v>
      </c>
      <c r="P215" s="310">
        <f t="shared" ca="1" si="105"/>
        <v>23</v>
      </c>
      <c r="Q215" s="304">
        <f t="shared" ca="1" si="106"/>
        <v>0</v>
      </c>
      <c r="R215" s="306">
        <f t="shared" ca="1" si="107"/>
        <v>0</v>
      </c>
      <c r="S215" s="307">
        <f t="shared" ca="1" si="108"/>
        <v>1.7842999999999964</v>
      </c>
      <c r="T215" s="304">
        <f t="shared" ca="1" si="88"/>
        <v>17.503982999999966</v>
      </c>
      <c r="U215" s="311">
        <f t="shared" ca="1" si="89"/>
        <v>0</v>
      </c>
      <c r="V215" s="306">
        <f t="shared" ca="1" si="90"/>
        <v>0.95778420262260344</v>
      </c>
      <c r="W215" s="304">
        <f t="shared" ca="1" si="91"/>
        <v>20.832935790206847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2448.3940927952312</v>
      </c>
      <c r="AG215" s="306">
        <f t="shared" ca="1" si="114"/>
        <v>-21.711000888089032</v>
      </c>
      <c r="AH215" s="304">
        <f t="shared" ca="1" si="115"/>
        <v>-12.092776048338687</v>
      </c>
    </row>
    <row r="216" spans="1:34" x14ac:dyDescent="0.2">
      <c r="A216" s="347">
        <f t="shared" ca="1" si="93"/>
        <v>0.1</v>
      </c>
      <c r="B216" s="304">
        <f t="shared" ca="1" si="94"/>
        <v>13.899999999999952</v>
      </c>
      <c r="D216" s="306">
        <f t="shared" ca="1" si="95"/>
        <v>-2.3147014899912515</v>
      </c>
      <c r="E216" s="307">
        <f t="shared" ca="1" si="96"/>
        <v>-21.253946949153288</v>
      </c>
      <c r="F216" s="304">
        <f t="shared" ca="1" si="97"/>
        <v>21.379618890550645</v>
      </c>
      <c r="G216" s="306">
        <f t="shared" ca="1" si="98"/>
        <v>25.004516075063211</v>
      </c>
      <c r="H216" s="307">
        <f t="shared" ca="1" si="99"/>
        <v>122.64200568327514</v>
      </c>
      <c r="I216" s="304">
        <f t="shared" ca="1" si="100"/>
        <v>125.16504057509263</v>
      </c>
      <c r="J216" s="306">
        <f t="shared" ca="1" si="101"/>
        <v>340.58750096864975</v>
      </c>
      <c r="K216" s="307">
        <f t="shared" ca="1" si="102"/>
        <v>2460.7645630983047</v>
      </c>
      <c r="L216" s="304">
        <f t="shared" ca="1" si="87"/>
        <v>2484.2226310893434</v>
      </c>
      <c r="M216" s="306">
        <f t="shared" ca="1" si="103"/>
        <v>1.3696707302792455</v>
      </c>
      <c r="N216" s="304">
        <f t="shared" ca="1" si="104"/>
        <v>78.476352167602101</v>
      </c>
      <c r="P216" s="310">
        <f t="shared" ca="1" si="105"/>
        <v>23</v>
      </c>
      <c r="Q216" s="304">
        <f t="shared" ca="1" si="106"/>
        <v>0</v>
      </c>
      <c r="R216" s="306">
        <f t="shared" ca="1" si="107"/>
        <v>0</v>
      </c>
      <c r="S216" s="307">
        <f t="shared" ca="1" si="108"/>
        <v>1.7842999999999964</v>
      </c>
      <c r="T216" s="304">
        <f t="shared" ca="1" si="88"/>
        <v>17.503982999999966</v>
      </c>
      <c r="U216" s="311">
        <f t="shared" ca="1" si="89"/>
        <v>0</v>
      </c>
      <c r="V216" s="306">
        <f t="shared" ca="1" si="90"/>
        <v>0.95658201437648627</v>
      </c>
      <c r="W216" s="304">
        <f t="shared" ca="1" si="91"/>
        <v>20.11663449130571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2460.7645630983047</v>
      </c>
      <c r="AG216" s="306">
        <f t="shared" ca="1" si="114"/>
        <v>-21.290978006357346</v>
      </c>
      <c r="AH216" s="304">
        <f t="shared" ca="1" si="115"/>
        <v>-11.675691189938288</v>
      </c>
    </row>
    <row r="217" spans="1:34" x14ac:dyDescent="0.2">
      <c r="A217" s="347">
        <f t="shared" ca="1" si="93"/>
        <v>0.1</v>
      </c>
      <c r="B217" s="304">
        <f t="shared" ca="1" si="94"/>
        <v>13.999999999999952</v>
      </c>
      <c r="D217" s="306">
        <f t="shared" ca="1" si="95"/>
        <v>-2.2522824820649645</v>
      </c>
      <c r="E217" s="307">
        <f t="shared" ca="1" si="96"/>
        <v>-20.856982078618543</v>
      </c>
      <c r="F217" s="304">
        <f t="shared" ca="1" si="97"/>
        <v>20.978238195969457</v>
      </c>
      <c r="G217" s="306">
        <f t="shared" ca="1" si="98"/>
        <v>24.779287826856716</v>
      </c>
      <c r="H217" s="307">
        <f t="shared" ca="1" si="99"/>
        <v>120.55630747541329</v>
      </c>
      <c r="I217" s="304">
        <f t="shared" ca="1" si="100"/>
        <v>123.07654682071886</v>
      </c>
      <c r="J217" s="306">
        <f t="shared" ca="1" si="101"/>
        <v>343.07669116374575</v>
      </c>
      <c r="K217" s="307">
        <f t="shared" ca="1" si="102"/>
        <v>2472.9244787562393</v>
      </c>
      <c r="L217" s="304">
        <f t="shared" ca="1" si="87"/>
        <v>2496.609119115702</v>
      </c>
      <c r="M217" s="306">
        <f t="shared" ca="1" si="103"/>
        <v>1.3680784141378601</v>
      </c>
      <c r="N217" s="304">
        <f t="shared" ca="1" si="104"/>
        <v>78.385119173050157</v>
      </c>
      <c r="P217" s="310">
        <f t="shared" ca="1" si="105"/>
        <v>23</v>
      </c>
      <c r="Q217" s="304">
        <f t="shared" ca="1" si="106"/>
        <v>0</v>
      </c>
      <c r="R217" s="306">
        <f t="shared" ca="1" si="107"/>
        <v>0</v>
      </c>
      <c r="S217" s="307">
        <f t="shared" ca="1" si="108"/>
        <v>1.7842999999999964</v>
      </c>
      <c r="T217" s="304">
        <f t="shared" ca="1" si="88"/>
        <v>17.503982999999966</v>
      </c>
      <c r="U217" s="311">
        <f t="shared" ca="1" si="89"/>
        <v>0</v>
      </c>
      <c r="V217" s="306">
        <f t="shared" ca="1" si="90"/>
        <v>0.95540157818889726</v>
      </c>
      <c r="W217" s="304">
        <f t="shared" ca="1" si="91"/>
        <v>19.426903584389855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>
        <f t="shared" ca="1" si="112"/>
        <v>13.999999999999952</v>
      </c>
      <c r="AD217" s="323">
        <f t="shared" ca="1" si="113"/>
        <v>343.07669116374575</v>
      </c>
      <c r="AE217" s="324">
        <f t="shared" ca="1" si="92"/>
        <v>2472.9244787562393</v>
      </c>
      <c r="AG217" s="306">
        <f t="shared" ca="1" si="114"/>
        <v>-20.886497828296211</v>
      </c>
      <c r="AH217" s="304">
        <f t="shared" ca="1" si="115"/>
        <v>-11.274244516788517</v>
      </c>
    </row>
    <row r="218" spans="1:34" x14ac:dyDescent="0.2">
      <c r="A218" s="347">
        <f t="shared" ca="1" si="93"/>
        <v>0.1</v>
      </c>
      <c r="B218" s="304">
        <f t="shared" ca="1" si="94"/>
        <v>14.099999999999952</v>
      </c>
      <c r="D218" s="306">
        <f t="shared" ca="1" si="95"/>
        <v>-2.1920437961710308</v>
      </c>
      <c r="E218" s="307">
        <f t="shared" ca="1" si="96"/>
        <v>-20.474741768903741</v>
      </c>
      <c r="F218" s="304">
        <f t="shared" ca="1" si="97"/>
        <v>20.591748505350957</v>
      </c>
      <c r="G218" s="306">
        <f t="shared" ca="1" si="98"/>
        <v>24.560083447239613</v>
      </c>
      <c r="H218" s="307">
        <f t="shared" ca="1" si="99"/>
        <v>118.50883329852292</v>
      </c>
      <c r="I218" s="304">
        <f t="shared" ca="1" si="100"/>
        <v>121.0270270175735</v>
      </c>
      <c r="J218" s="306">
        <f t="shared" ca="1" si="101"/>
        <v>345.54365972745057</v>
      </c>
      <c r="K218" s="307">
        <f t="shared" ca="1" si="102"/>
        <v>2484.8777357949361</v>
      </c>
      <c r="L218" s="304">
        <f t="shared" ca="1" si="87"/>
        <v>2508.7881103487416</v>
      </c>
      <c r="M218" s="306">
        <f t="shared" ca="1" si="103"/>
        <v>1.366446488547657</v>
      </c>
      <c r="N218" s="304">
        <f t="shared" ca="1" si="104"/>
        <v>78.291616724252123</v>
      </c>
      <c r="P218" s="310">
        <f t="shared" ca="1" si="105"/>
        <v>23</v>
      </c>
      <c r="Q218" s="304">
        <f t="shared" ca="1" si="106"/>
        <v>0</v>
      </c>
      <c r="R218" s="306">
        <f t="shared" ca="1" si="107"/>
        <v>0</v>
      </c>
      <c r="S218" s="307">
        <f t="shared" ca="1" si="108"/>
        <v>1.7842999999999964</v>
      </c>
      <c r="T218" s="304">
        <f t="shared" ca="1" si="88"/>
        <v>17.503982999999966</v>
      </c>
      <c r="U218" s="311">
        <f t="shared" ca="1" si="89"/>
        <v>0</v>
      </c>
      <c r="V218" s="306">
        <f t="shared" ca="1" si="90"/>
        <v>0.95424244800291513</v>
      </c>
      <c r="W218" s="304">
        <f t="shared" ca="1" si="91"/>
        <v>18.762490568841951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2484.8777357949361</v>
      </c>
      <c r="AG218" s="306">
        <f t="shared" ca="1" si="114"/>
        <v>-20.496809615569859</v>
      </c>
      <c r="AH218" s="304">
        <f t="shared" ca="1" si="115"/>
        <v>-10.887689056991478</v>
      </c>
    </row>
    <row r="219" spans="1:34" x14ac:dyDescent="0.2">
      <c r="A219" s="347">
        <f t="shared" ca="1" si="93"/>
        <v>0.1</v>
      </c>
      <c r="B219" s="304">
        <f t="shared" ca="1" si="94"/>
        <v>14.199999999999951</v>
      </c>
      <c r="D219" s="306">
        <f t="shared" ca="1" si="95"/>
        <v>-2.1338804491793151</v>
      </c>
      <c r="E219" s="307">
        <f t="shared" ca="1" si="96"/>
        <v>-20.106531889804764</v>
      </c>
      <c r="F219" s="304">
        <f t="shared" ca="1" si="97"/>
        <v>20.219447826464638</v>
      </c>
      <c r="G219" s="306">
        <f t="shared" ca="1" si="98"/>
        <v>24.346695402321682</v>
      </c>
      <c r="H219" s="307">
        <f t="shared" ca="1" si="99"/>
        <v>116.49818010954245</v>
      </c>
      <c r="I219" s="304">
        <f t="shared" ca="1" si="100"/>
        <v>119.01507276748112</v>
      </c>
      <c r="J219" s="306">
        <f t="shared" ca="1" si="101"/>
        <v>347.98899866992866</v>
      </c>
      <c r="K219" s="307">
        <f t="shared" ca="1" si="102"/>
        <v>2496.6280864653395</v>
      </c>
      <c r="L219" s="304">
        <f t="shared" ca="1" si="87"/>
        <v>2520.7634052649373</v>
      </c>
      <c r="M219" s="306">
        <f t="shared" ca="1" si="103"/>
        <v>1.3647738014139041</v>
      </c>
      <c r="N219" s="304">
        <f t="shared" ca="1" si="104"/>
        <v>78.195778811042246</v>
      </c>
      <c r="P219" s="310">
        <f t="shared" ca="1" si="105"/>
        <v>23</v>
      </c>
      <c r="Q219" s="304">
        <f t="shared" ca="1" si="106"/>
        <v>0</v>
      </c>
      <c r="R219" s="306">
        <f t="shared" ca="1" si="107"/>
        <v>0</v>
      </c>
      <c r="S219" s="307">
        <f t="shared" ca="1" si="108"/>
        <v>1.7842999999999964</v>
      </c>
      <c r="T219" s="304">
        <f t="shared" ca="1" si="88"/>
        <v>17.503982999999966</v>
      </c>
      <c r="U219" s="311">
        <f t="shared" ca="1" si="89"/>
        <v>0</v>
      </c>
      <c r="V219" s="306">
        <f t="shared" ca="1" si="90"/>
        <v>0.95310419462283347</v>
      </c>
      <c r="W219" s="304">
        <f t="shared" ca="1" si="91"/>
        <v>18.122217520902062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2496.6280864653395</v>
      </c>
      <c r="AG219" s="306">
        <f t="shared" ca="1" si="114"/>
        <v>-20.121207451332211</v>
      </c>
      <c r="AH219" s="304">
        <f t="shared" ca="1" si="115"/>
        <v>-10.515322854252082</v>
      </c>
    </row>
    <row r="220" spans="1:34" x14ac:dyDescent="0.2">
      <c r="A220" s="347">
        <f t="shared" ca="1" si="93"/>
        <v>0.1</v>
      </c>
      <c r="B220" s="304">
        <f t="shared" ca="1" si="94"/>
        <v>14.299999999999951</v>
      </c>
      <c r="D220" s="306">
        <f t="shared" ca="1" si="95"/>
        <v>-2.0776936830333694</v>
      </c>
      <c r="E220" s="307">
        <f t="shared" ca="1" si="96"/>
        <v>-19.751699639261869</v>
      </c>
      <c r="F220" s="304">
        <f t="shared" ca="1" si="97"/>
        <v>19.860675962316446</v>
      </c>
      <c r="G220" s="306">
        <f t="shared" ca="1" si="98"/>
        <v>24.138926034018347</v>
      </c>
      <c r="H220" s="307">
        <f t="shared" ca="1" si="99"/>
        <v>114.52301014561625</v>
      </c>
      <c r="I220" s="304">
        <f t="shared" ca="1" si="100"/>
        <v>117.03934211575496</v>
      </c>
      <c r="J220" s="306">
        <f t="shared" ca="1" si="101"/>
        <v>350.41327974174567</v>
      </c>
      <c r="K220" s="307">
        <f t="shared" ca="1" si="102"/>
        <v>2508.1791459780975</v>
      </c>
      <c r="L220" s="304">
        <f t="shared" ca="1" si="87"/>
        <v>2532.5386660303502</v>
      </c>
      <c r="M220" s="306">
        <f t="shared" ca="1" si="103"/>
        <v>1.3630591517283326</v>
      </c>
      <c r="N220" s="304">
        <f t="shared" ca="1" si="104"/>
        <v>78.097536620715573</v>
      </c>
      <c r="P220" s="310">
        <f t="shared" ca="1" si="105"/>
        <v>23</v>
      </c>
      <c r="Q220" s="304">
        <f t="shared" ca="1" si="106"/>
        <v>0</v>
      </c>
      <c r="R220" s="306">
        <f t="shared" ca="1" si="107"/>
        <v>0</v>
      </c>
      <c r="S220" s="307">
        <f t="shared" ca="1" si="108"/>
        <v>1.7842999999999964</v>
      </c>
      <c r="T220" s="304">
        <f t="shared" ca="1" si="88"/>
        <v>17.503982999999966</v>
      </c>
      <c r="U220" s="311">
        <f t="shared" ca="1" si="89"/>
        <v>0</v>
      </c>
      <c r="V220" s="306">
        <f t="shared" ca="1" si="90"/>
        <v>0.95198640490675257</v>
      </c>
      <c r="W220" s="304">
        <f t="shared" ca="1" si="91"/>
        <v>17.504975825121132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2508.1791459780975</v>
      </c>
      <c r="AG220" s="306">
        <f t="shared" ca="1" si="114"/>
        <v>-19.759027008947029</v>
      </c>
      <c r="AH220" s="304">
        <f t="shared" ca="1" si="115"/>
        <v>-10.156485748417921</v>
      </c>
    </row>
    <row r="221" spans="1:34" x14ac:dyDescent="0.2">
      <c r="A221" s="347">
        <f t="shared" ca="1" si="93"/>
        <v>0.1</v>
      </c>
      <c r="B221" s="304">
        <f t="shared" ca="1" si="94"/>
        <v>14.399999999999951</v>
      </c>
      <c r="D221" s="306">
        <f t="shared" ca="1" si="95"/>
        <v>-2.0233905245914761</v>
      </c>
      <c r="E221" s="307">
        <f t="shared" ca="1" si="96"/>
        <v>-19.409630623573307</v>
      </c>
      <c r="F221" s="304">
        <f t="shared" ca="1" si="97"/>
        <v>19.514811558366667</v>
      </c>
      <c r="G221" s="306">
        <f t="shared" ca="1" si="98"/>
        <v>23.936586981559199</v>
      </c>
      <c r="H221" s="307">
        <f t="shared" ca="1" si="99"/>
        <v>112.58204708325893</v>
      </c>
      <c r="I221" s="304">
        <f t="shared" ca="1" si="100"/>
        <v>115.09855568938683</v>
      </c>
      <c r="J221" s="306">
        <f t="shared" ca="1" si="101"/>
        <v>352.81705539252454</v>
      </c>
      <c r="K221" s="307">
        <f t="shared" ca="1" si="102"/>
        <v>2519.5343988395412</v>
      </c>
      <c r="L221" s="304">
        <f t="shared" ca="1" si="87"/>
        <v>2544.1174229016196</v>
      </c>
      <c r="M221" s="306">
        <f t="shared" ca="1" si="103"/>
        <v>1.361301287092777</v>
      </c>
      <c r="N221" s="304">
        <f t="shared" ca="1" si="104"/>
        <v>77.996818396142928</v>
      </c>
      <c r="P221" s="310">
        <f t="shared" ca="1" si="105"/>
        <v>23</v>
      </c>
      <c r="Q221" s="304">
        <f t="shared" ca="1" si="106"/>
        <v>0</v>
      </c>
      <c r="R221" s="306">
        <f t="shared" ca="1" si="107"/>
        <v>0</v>
      </c>
      <c r="S221" s="307">
        <f t="shared" ca="1" si="108"/>
        <v>1.7842999999999964</v>
      </c>
      <c r="T221" s="304">
        <f t="shared" ca="1" si="88"/>
        <v>17.503982999999966</v>
      </c>
      <c r="U221" s="311">
        <f t="shared" ca="1" si="89"/>
        <v>0</v>
      </c>
      <c r="V221" s="306">
        <f t="shared" ca="1" si="90"/>
        <v>0.9508886810077668</v>
      </c>
      <c r="W221" s="304">
        <f t="shared" ca="1" si="91"/>
        <v>16.909721337105896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2519.5343988395412</v>
      </c>
      <c r="AG221" s="306">
        <f t="shared" ca="1" si="114"/>
        <v>-19.409642586596519</v>
      </c>
      <c r="AH221" s="304">
        <f t="shared" ca="1" si="115"/>
        <v>-9.8105564227546758</v>
      </c>
    </row>
    <row r="222" spans="1:34" x14ac:dyDescent="0.2">
      <c r="A222" s="347">
        <f t="shared" ca="1" si="93"/>
        <v>0.1</v>
      </c>
      <c r="B222" s="304">
        <f t="shared" ca="1" si="94"/>
        <v>14.49999999999995</v>
      </c>
      <c r="D222" s="306">
        <f t="shared" ca="1" si="95"/>
        <v>-1.9708833815170415</v>
      </c>
      <c r="E222" s="307">
        <f t="shared" ca="1" si="96"/>
        <v>-19.079746176616815</v>
      </c>
      <c r="F222" s="304">
        <f t="shared" ca="1" si="97"/>
        <v>19.181269391457491</v>
      </c>
      <c r="G222" s="306">
        <f t="shared" ca="1" si="98"/>
        <v>23.739498643407494</v>
      </c>
      <c r="H222" s="307">
        <f t="shared" ca="1" si="99"/>
        <v>110.67407246559725</v>
      </c>
      <c r="I222" s="304">
        <f t="shared" ca="1" si="100"/>
        <v>113.19149310774471</v>
      </c>
      <c r="J222" s="306">
        <f t="shared" ca="1" si="101"/>
        <v>355.20085967377287</v>
      </c>
      <c r="K222" s="307">
        <f t="shared" ca="1" si="102"/>
        <v>2530.6972048169841</v>
      </c>
      <c r="L222" s="304">
        <f t="shared" ca="1" si="87"/>
        <v>2555.5030802527872</v>
      </c>
      <c r="M222" s="306">
        <f t="shared" ca="1" si="103"/>
        <v>1.3594989010897021</v>
      </c>
      <c r="N222" s="304">
        <f t="shared" ca="1" si="104"/>
        <v>77.893549285113281</v>
      </c>
      <c r="P222" s="310">
        <f t="shared" ca="1" si="105"/>
        <v>23</v>
      </c>
      <c r="Q222" s="304">
        <f t="shared" ca="1" si="106"/>
        <v>0</v>
      </c>
      <c r="R222" s="306">
        <f t="shared" ca="1" si="107"/>
        <v>0</v>
      </c>
      <c r="S222" s="307">
        <f t="shared" ca="1" si="108"/>
        <v>1.7842999999999964</v>
      </c>
      <c r="T222" s="304">
        <f t="shared" ca="1" si="88"/>
        <v>17.503982999999966</v>
      </c>
      <c r="U222" s="311">
        <f t="shared" ca="1" si="89"/>
        <v>0</v>
      </c>
      <c r="V222" s="306">
        <f t="shared" ca="1" si="90"/>
        <v>0.94981063966027535</v>
      </c>
      <c r="W222" s="304">
        <f t="shared" ca="1" si="91"/>
        <v>16.335469937577042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2530.6972048169841</v>
      </c>
      <c r="AG222" s="306">
        <f t="shared" ca="1" si="114"/>
        <v>-19.072464382688302</v>
      </c>
      <c r="AH222" s="304">
        <f t="shared" ca="1" si="115"/>
        <v>-9.4769496929361257</v>
      </c>
    </row>
    <row r="223" spans="1:34" x14ac:dyDescent="0.2">
      <c r="A223" s="347">
        <f t="shared" ca="1" si="93"/>
        <v>0.1</v>
      </c>
      <c r="B223" s="304">
        <f t="shared" ca="1" si="94"/>
        <v>14.59999999999995</v>
      </c>
      <c r="D223" s="306">
        <f t="shared" ca="1" si="95"/>
        <v>-1.9200896708783932</v>
      </c>
      <c r="E223" s="307">
        <f t="shared" ca="1" si="96"/>
        <v>-18.761500895923639</v>
      </c>
      <c r="F223" s="304">
        <f t="shared" ca="1" si="97"/>
        <v>18.859497878044298</v>
      </c>
      <c r="G223" s="306">
        <f t="shared" ca="1" si="98"/>
        <v>23.547489676319653</v>
      </c>
      <c r="H223" s="307">
        <f t="shared" ca="1" si="99"/>
        <v>108.79792237600489</v>
      </c>
      <c r="I223" s="304">
        <f t="shared" ca="1" si="100"/>
        <v>111.31698964395133</v>
      </c>
      <c r="J223" s="306">
        <f t="shared" ca="1" si="101"/>
        <v>357.56520908975921</v>
      </c>
      <c r="K223" s="307">
        <f t="shared" ca="1" si="102"/>
        <v>2541.6708045590644</v>
      </c>
      <c r="L223" s="304">
        <f t="shared" ca="1" si="87"/>
        <v>2566.6989222538987</v>
      </c>
      <c r="M223" s="306">
        <f t="shared" ca="1" si="103"/>
        <v>1.357650630488755</v>
      </c>
      <c r="N223" s="304">
        <f t="shared" ca="1" si="104"/>
        <v>77.787651180280903</v>
      </c>
      <c r="P223" s="310">
        <f t="shared" ca="1" si="105"/>
        <v>23</v>
      </c>
      <c r="Q223" s="304">
        <f t="shared" ca="1" si="106"/>
        <v>0</v>
      </c>
      <c r="R223" s="306">
        <f t="shared" ca="1" si="107"/>
        <v>0</v>
      </c>
      <c r="S223" s="307">
        <f t="shared" ca="1" si="108"/>
        <v>1.7842999999999964</v>
      </c>
      <c r="T223" s="304">
        <f t="shared" ca="1" si="88"/>
        <v>17.503982999999966</v>
      </c>
      <c r="U223" s="311">
        <f t="shared" ca="1" si="89"/>
        <v>0</v>
      </c>
      <c r="V223" s="306">
        <f t="shared" ca="1" si="90"/>
        <v>0.94875191150825111</v>
      </c>
      <c r="W223" s="304">
        <f t="shared" ca="1" si="91"/>
        <v>15.781293441894507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2541.6708045590644</v>
      </c>
      <c r="AG223" s="306">
        <f t="shared" ca="1" si="114"/>
        <v>-18.74693598957985</v>
      </c>
      <c r="AH223" s="304">
        <f t="shared" ca="1" si="115"/>
        <v>-9.1551140153433135</v>
      </c>
    </row>
    <row r="224" spans="1:34" x14ac:dyDescent="0.2">
      <c r="A224" s="347">
        <f t="shared" ca="1" si="93"/>
        <v>0.1</v>
      </c>
      <c r="B224" s="304">
        <f t="shared" ca="1" si="94"/>
        <v>14.69999999999995</v>
      </c>
      <c r="D224" s="306">
        <f t="shared" ca="1" si="95"/>
        <v>-1.8709314774635462</v>
      </c>
      <c r="E224" s="307">
        <f t="shared" ca="1" si="96"/>
        <v>-18.454380375739376</v>
      </c>
      <c r="F224" s="304">
        <f t="shared" ca="1" si="97"/>
        <v>18.548976781640505</v>
      </c>
      <c r="G224" s="306">
        <f t="shared" ca="1" si="98"/>
        <v>23.3603965285733</v>
      </c>
      <c r="H224" s="307">
        <f t="shared" ca="1" si="99"/>
        <v>106.95248433843095</v>
      </c>
      <c r="I224" s="304">
        <f t="shared" ca="1" si="100"/>
        <v>109.47393311713294</v>
      </c>
      <c r="J224" s="306">
        <f t="shared" ca="1" si="101"/>
        <v>359.91060340000388</v>
      </c>
      <c r="K224" s="307">
        <f t="shared" ca="1" si="102"/>
        <v>2552.4583248947861</v>
      </c>
      <c r="L224" s="304">
        <f t="shared" ca="1" si="87"/>
        <v>2577.7081182252678</v>
      </c>
      <c r="M224" s="306">
        <f t="shared" ca="1" si="103"/>
        <v>1.3557550522776054</v>
      </c>
      <c r="N224" s="304">
        <f t="shared" ca="1" si="104"/>
        <v>77.679042549045079</v>
      </c>
      <c r="P224" s="310">
        <f t="shared" ca="1" si="105"/>
        <v>23</v>
      </c>
      <c r="Q224" s="304">
        <f t="shared" ca="1" si="106"/>
        <v>0</v>
      </c>
      <c r="R224" s="306">
        <f t="shared" ca="1" si="107"/>
        <v>0</v>
      </c>
      <c r="S224" s="307">
        <f t="shared" ca="1" si="108"/>
        <v>1.7842999999999964</v>
      </c>
      <c r="T224" s="304">
        <f t="shared" ca="1" si="88"/>
        <v>17.503982999999966</v>
      </c>
      <c r="U224" s="311">
        <f t="shared" ca="1" si="89"/>
        <v>0</v>
      </c>
      <c r="V224" s="306">
        <f t="shared" ca="1" si="90"/>
        <v>0.94771214047254426</v>
      </c>
      <c r="W224" s="304">
        <f t="shared" ca="1" si="91"/>
        <v>15.246315832863814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2552.4583248947861</v>
      </c>
      <c r="AG224" s="306">
        <f t="shared" ca="1" si="114"/>
        <v>-18.432532085448173</v>
      </c>
      <c r="AH224" s="304">
        <f t="shared" ca="1" si="115"/>
        <v>-8.8445291945830515</v>
      </c>
    </row>
    <row r="225" spans="1:34" x14ac:dyDescent="0.2">
      <c r="A225" s="347">
        <f t="shared" ca="1" si="93"/>
        <v>0.1</v>
      </c>
      <c r="B225" s="304">
        <f t="shared" ca="1" si="94"/>
        <v>14.799999999999949</v>
      </c>
      <c r="D225" s="306">
        <f t="shared" ca="1" si="95"/>
        <v>-1.8233352391214221</v>
      </c>
      <c r="E225" s="307">
        <f t="shared" ca="1" si="96"/>
        <v>-18.157899119234393</v>
      </c>
      <c r="F225" s="304">
        <f t="shared" ca="1" si="97"/>
        <v>18.24921510143697</v>
      </c>
      <c r="G225" s="306">
        <f t="shared" ca="1" si="98"/>
        <v>23.178063004661158</v>
      </c>
      <c r="H225" s="307">
        <f t="shared" ca="1" si="99"/>
        <v>105.1366944265075</v>
      </c>
      <c r="I225" s="304">
        <f t="shared" ca="1" si="100"/>
        <v>107.66126099754199</v>
      </c>
      <c r="J225" s="306">
        <f t="shared" ca="1" si="101"/>
        <v>362.23752637666558</v>
      </c>
      <c r="K225" s="307">
        <f t="shared" ca="1" si="102"/>
        <v>2563.0627838330329</v>
      </c>
      <c r="L225" s="304">
        <f t="shared" ca="1" si="87"/>
        <v>2588.5337276893692</v>
      </c>
      <c r="M225" s="306">
        <f t="shared" ca="1" si="103"/>
        <v>1.3538106805043759</v>
      </c>
      <c r="N225" s="304">
        <f t="shared" ca="1" si="104"/>
        <v>77.567638252634666</v>
      </c>
      <c r="P225" s="310">
        <f t="shared" ca="1" si="105"/>
        <v>23</v>
      </c>
      <c r="Q225" s="304">
        <f t="shared" ca="1" si="106"/>
        <v>0</v>
      </c>
      <c r="R225" s="306">
        <f t="shared" ca="1" si="107"/>
        <v>0</v>
      </c>
      <c r="S225" s="307">
        <f t="shared" ca="1" si="108"/>
        <v>1.7842999999999964</v>
      </c>
      <c r="T225" s="304">
        <f t="shared" ca="1" si="88"/>
        <v>17.503982999999966</v>
      </c>
      <c r="U225" s="311">
        <f t="shared" ca="1" si="89"/>
        <v>0</v>
      </c>
      <c r="V225" s="306">
        <f t="shared" ca="1" si="90"/>
        <v>0.94669098315454137</v>
      </c>
      <c r="W225" s="304">
        <f t="shared" ca="1" si="91"/>
        <v>14.729709787887778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2563.0627838330329</v>
      </c>
      <c r="AG225" s="306">
        <f t="shared" ca="1" si="114"/>
        <v>-18.128756306176086</v>
      </c>
      <c r="AH225" s="304">
        <f t="shared" ca="1" si="115"/>
        <v>-8.5447042721873263</v>
      </c>
    </row>
    <row r="226" spans="1:34" x14ac:dyDescent="0.2">
      <c r="A226" s="347">
        <f t="shared" ca="1" si="93"/>
        <v>0.1</v>
      </c>
      <c r="B226" s="304">
        <f t="shared" ca="1" si="94"/>
        <v>14.899999999999949</v>
      </c>
      <c r="D226" s="306">
        <f t="shared" ca="1" si="95"/>
        <v>-1.7772314567127661</v>
      </c>
      <c r="E226" s="307">
        <f t="shared" ca="1" si="96"/>
        <v>-17.871598613827672</v>
      </c>
      <c r="F226" s="304">
        <f t="shared" ca="1" si="97"/>
        <v>17.959749125878584</v>
      </c>
      <c r="G226" s="306">
        <f t="shared" ca="1" si="98"/>
        <v>23.000339858989882</v>
      </c>
      <c r="H226" s="307">
        <f t="shared" ca="1" si="99"/>
        <v>103.34953456512474</v>
      </c>
      <c r="I226" s="304">
        <f t="shared" ca="1" si="100"/>
        <v>105.8779577081885</v>
      </c>
      <c r="J226" s="306">
        <f t="shared" ca="1" si="101"/>
        <v>364.54644651984813</v>
      </c>
      <c r="K226" s="307">
        <f t="shared" ca="1" si="102"/>
        <v>2573.4870952826145</v>
      </c>
      <c r="L226" s="304">
        <f t="shared" ca="1" si="87"/>
        <v>2599.1787051406059</v>
      </c>
      <c r="M226" s="306">
        <f t="shared" ca="1" si="103"/>
        <v>1.3518159629179232</v>
      </c>
      <c r="N226" s="304">
        <f t="shared" ca="1" si="104"/>
        <v>77.453349353610392</v>
      </c>
      <c r="P226" s="310">
        <f t="shared" ca="1" si="105"/>
        <v>23</v>
      </c>
      <c r="Q226" s="304">
        <f t="shared" ca="1" si="106"/>
        <v>0</v>
      </c>
      <c r="R226" s="306">
        <f t="shared" ca="1" si="107"/>
        <v>0</v>
      </c>
      <c r="S226" s="307">
        <f t="shared" ca="1" si="108"/>
        <v>1.7842999999999964</v>
      </c>
      <c r="T226" s="304">
        <f t="shared" ca="1" si="88"/>
        <v>17.503982999999966</v>
      </c>
      <c r="U226" s="311">
        <f t="shared" ca="1" si="89"/>
        <v>0</v>
      </c>
      <c r="V226" s="306">
        <f t="shared" ca="1" si="90"/>
        <v>0.94568810827370919</v>
      </c>
      <c r="W226" s="304">
        <f t="shared" ca="1" si="91"/>
        <v>14.230693474415654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2573.4870952826145</v>
      </c>
      <c r="AG226" s="306">
        <f t="shared" ca="1" si="114"/>
        <v>-17.835139280939575</v>
      </c>
      <c r="AH226" s="304">
        <f t="shared" ca="1" si="115"/>
        <v>-8.2551755802767506</v>
      </c>
    </row>
    <row r="227" spans="1:34" x14ac:dyDescent="0.2">
      <c r="A227" s="347">
        <f t="shared" ca="1" si="93"/>
        <v>0.1</v>
      </c>
      <c r="B227" s="304">
        <f t="shared" ca="1" si="94"/>
        <v>14.999999999999948</v>
      </c>
      <c r="D227" s="306">
        <f t="shared" ca="1" si="95"/>
        <v>-1.732554426495426</v>
      </c>
      <c r="E227" s="307">
        <f t="shared" ca="1" si="96"/>
        <v>-17.595045555188275</v>
      </c>
      <c r="F227" s="304">
        <f t="shared" ca="1" si="97"/>
        <v>17.680140636599006</v>
      </c>
      <c r="G227" s="306">
        <f t="shared" ca="1" si="98"/>
        <v>22.827084416340341</v>
      </c>
      <c r="H227" s="307">
        <f t="shared" ca="1" si="99"/>
        <v>101.59003000960591</v>
      </c>
      <c r="I227" s="304">
        <f t="shared" ca="1" si="100"/>
        <v>104.1230521080868</v>
      </c>
      <c r="J227" s="306">
        <f t="shared" ca="1" si="101"/>
        <v>366.83781773361466</v>
      </c>
      <c r="K227" s="307">
        <f t="shared" ca="1" si="102"/>
        <v>2583.7340735113512</v>
      </c>
      <c r="L227" s="304">
        <f t="shared" ca="1" si="87"/>
        <v>2609.6459045516349</v>
      </c>
      <c r="M227" s="306">
        <f t="shared" ca="1" si="103"/>
        <v>1.3497692773910821</v>
      </c>
      <c r="N227" s="304">
        <f t="shared" ca="1" si="104"/>
        <v>77.336082910931893</v>
      </c>
      <c r="P227" s="310">
        <f t="shared" ca="1" si="105"/>
        <v>23</v>
      </c>
      <c r="Q227" s="304">
        <f t="shared" ca="1" si="106"/>
        <v>0</v>
      </c>
      <c r="R227" s="306">
        <f t="shared" ca="1" si="107"/>
        <v>0</v>
      </c>
      <c r="S227" s="307">
        <f t="shared" ca="1" si="108"/>
        <v>1.7842999999999964</v>
      </c>
      <c r="T227" s="304">
        <f t="shared" ca="1" si="88"/>
        <v>17.503982999999966</v>
      </c>
      <c r="U227" s="311">
        <f t="shared" ca="1" si="89"/>
        <v>0</v>
      </c>
      <c r="V227" s="306">
        <f t="shared" ca="1" si="90"/>
        <v>0.94470319613675002</v>
      </c>
      <c r="W227" s="304">
        <f t="shared" ca="1" si="91"/>
        <v>13.748527590213234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>
        <f t="shared" ca="1" si="112"/>
        <v>14.999999999999948</v>
      </c>
      <c r="AD227" s="323">
        <f t="shared" ca="1" si="113"/>
        <v>366.83781773361466</v>
      </c>
      <c r="AE227" s="324">
        <f t="shared" ca="1" si="92"/>
        <v>2583.7340735113512</v>
      </c>
      <c r="AG227" s="306">
        <f t="shared" ca="1" si="114"/>
        <v>-17.551236816789761</v>
      </c>
      <c r="AH227" s="304">
        <f t="shared" ca="1" si="115"/>
        <v>-7.9755049455896891</v>
      </c>
    </row>
    <row r="228" spans="1:34" x14ac:dyDescent="0.2">
      <c r="A228" s="347">
        <f t="shared" ca="1" si="93"/>
        <v>0.1</v>
      </c>
      <c r="B228" s="304">
        <f t="shared" ca="1" si="94"/>
        <v>15.099999999999948</v>
      </c>
      <c r="D228" s="306">
        <f t="shared" ca="1" si="95"/>
        <v>-1.6892419929837226</v>
      </c>
      <c r="E228" s="307">
        <f t="shared" ca="1" si="96"/>
        <v>-17.327830206903645</v>
      </c>
      <c r="F228" s="304">
        <f t="shared" ca="1" si="97"/>
        <v>17.4099752495557</v>
      </c>
      <c r="G228" s="306">
        <f t="shared" ca="1" si="98"/>
        <v>22.658160217041967</v>
      </c>
      <c r="H228" s="307">
        <f t="shared" ca="1" si="99"/>
        <v>99.857246988915549</v>
      </c>
      <c r="I228" s="304">
        <f t="shared" ca="1" si="100"/>
        <v>102.39561514355205</v>
      </c>
      <c r="J228" s="306">
        <f t="shared" ca="1" si="101"/>
        <v>369.11207996528378</v>
      </c>
      <c r="K228" s="307">
        <f t="shared" ca="1" si="102"/>
        <v>2593.8064373612774</v>
      </c>
      <c r="L228" s="304">
        <f t="shared" ca="1" si="87"/>
        <v>2619.9380836334853</v>
      </c>
      <c r="M228" s="306">
        <f t="shared" ca="1" si="103"/>
        <v>1.3476689281107519</v>
      </c>
      <c r="N228" s="304">
        <f t="shared" ca="1" si="104"/>
        <v>77.215741761665626</v>
      </c>
      <c r="P228" s="310">
        <f t="shared" ca="1" si="105"/>
        <v>23</v>
      </c>
      <c r="Q228" s="304">
        <f t="shared" ca="1" si="106"/>
        <v>0</v>
      </c>
      <c r="R228" s="306">
        <f t="shared" ca="1" si="107"/>
        <v>0</v>
      </c>
      <c r="S228" s="307">
        <f t="shared" ca="1" si="108"/>
        <v>1.7842999999999964</v>
      </c>
      <c r="T228" s="304">
        <f t="shared" ca="1" si="88"/>
        <v>17.503982999999966</v>
      </c>
      <c r="U228" s="311">
        <f t="shared" ca="1" si="89"/>
        <v>0</v>
      </c>
      <c r="V228" s="306">
        <f t="shared" ca="1" si="90"/>
        <v>0.94373593813626999</v>
      </c>
      <c r="W228" s="304">
        <f t="shared" ca="1" si="91"/>
        <v>13.282512627268904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2593.8064373612774</v>
      </c>
      <c r="AG228" s="306">
        <f t="shared" ca="1" si="114"/>
        <v>-17.276628218953746</v>
      </c>
      <c r="AH228" s="304">
        <f t="shared" ca="1" si="115"/>
        <v>-7.7052780307197564</v>
      </c>
    </row>
    <row r="229" spans="1:34" x14ac:dyDescent="0.2">
      <c r="A229" s="347">
        <f t="shared" ca="1" si="93"/>
        <v>0.1</v>
      </c>
      <c r="B229" s="304">
        <f t="shared" ca="1" si="94"/>
        <v>15.199999999999948</v>
      </c>
      <c r="D229" s="306">
        <f t="shared" ca="1" si="95"/>
        <v>-1.6472353205132122</v>
      </c>
      <c r="E229" s="307">
        <f t="shared" ca="1" si="96"/>
        <v>-17.069564884073685</v>
      </c>
      <c r="F229" s="304">
        <f t="shared" ca="1" si="97"/>
        <v>17.148860881491451</v>
      </c>
      <c r="G229" s="306">
        <f t="shared" ca="1" si="98"/>
        <v>22.493436684990645</v>
      </c>
      <c r="H229" s="307">
        <f t="shared" ca="1" si="99"/>
        <v>98.150290500508177</v>
      </c>
      <c r="I229" s="304">
        <f t="shared" ca="1" si="100"/>
        <v>100.69475765518197</v>
      </c>
      <c r="J229" s="306">
        <f t="shared" ca="1" si="101"/>
        <v>371.36965981038543</v>
      </c>
      <c r="K229" s="307">
        <f t="shared" ca="1" si="102"/>
        <v>2603.7068142357484</v>
      </c>
      <c r="L229" s="304">
        <f t="shared" ca="1" si="87"/>
        <v>2630.057907865405</v>
      </c>
      <c r="M229" s="306">
        <f t="shared" ca="1" si="103"/>
        <v>1.3455131415173309</v>
      </c>
      <c r="N229" s="304">
        <f t="shared" ca="1" si="104"/>
        <v>77.092224288331721</v>
      </c>
      <c r="P229" s="310">
        <f t="shared" ca="1" si="105"/>
        <v>23</v>
      </c>
      <c r="Q229" s="304">
        <f t="shared" ca="1" si="106"/>
        <v>0</v>
      </c>
      <c r="R229" s="306">
        <f t="shared" ca="1" si="107"/>
        <v>0</v>
      </c>
      <c r="S229" s="307">
        <f t="shared" ca="1" si="108"/>
        <v>1.7842999999999964</v>
      </c>
      <c r="T229" s="304">
        <f t="shared" ca="1" si="88"/>
        <v>17.503982999999966</v>
      </c>
      <c r="U229" s="311">
        <f t="shared" ca="1" si="89"/>
        <v>0</v>
      </c>
      <c r="V229" s="306">
        <f t="shared" ca="1" si="90"/>
        <v>0.94278603627702084</v>
      </c>
      <c r="W229" s="304">
        <f t="shared" ca="1" si="91"/>
        <v>12.831986340195781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2603.7068142357484</v>
      </c>
      <c r="AG229" s="306">
        <f t="shared" ca="1" si="114"/>
        <v>-17.010914734851418</v>
      </c>
      <c r="AH229" s="304">
        <f t="shared" ca="1" si="115"/>
        <v>-7.4441028006887464</v>
      </c>
    </row>
    <row r="230" spans="1:34" x14ac:dyDescent="0.2">
      <c r="A230" s="347">
        <f t="shared" ca="1" si="93"/>
        <v>0.1</v>
      </c>
      <c r="B230" s="304">
        <f t="shared" ca="1" si="94"/>
        <v>15.299999999999947</v>
      </c>
      <c r="D230" s="306">
        <f t="shared" ca="1" si="95"/>
        <v>-1.6064786819132559</v>
      </c>
      <c r="E230" s="307">
        <f t="shared" ca="1" si="96"/>
        <v>-16.8198825502229</v>
      </c>
      <c r="F230" s="304">
        <f t="shared" ca="1" si="97"/>
        <v>16.896426330994803</v>
      </c>
      <c r="G230" s="306">
        <f t="shared" ca="1" si="98"/>
        <v>22.332788816799319</v>
      </c>
      <c r="H230" s="307">
        <f t="shared" ca="1" si="99"/>
        <v>96.468302245485887</v>
      </c>
      <c r="I230" s="304">
        <f t="shared" ca="1" si="100"/>
        <v>99.0196283292468</v>
      </c>
      <c r="J230" s="306">
        <f t="shared" ca="1" si="101"/>
        <v>373.61097108547494</v>
      </c>
      <c r="K230" s="307">
        <f t="shared" ca="1" si="102"/>
        <v>2613.437743873048</v>
      </c>
      <c r="L230" s="304">
        <f t="shared" ca="1" si="87"/>
        <v>2640.0079543091683</v>
      </c>
      <c r="M230" s="306">
        <f t="shared" ca="1" si="103"/>
        <v>1.3433000619745248</v>
      </c>
      <c r="N230" s="304">
        <f t="shared" ca="1" si="104"/>
        <v>76.965424170802194</v>
      </c>
      <c r="P230" s="310">
        <f t="shared" ca="1" si="105"/>
        <v>23</v>
      </c>
      <c r="Q230" s="304">
        <f t="shared" ca="1" si="106"/>
        <v>0</v>
      </c>
      <c r="R230" s="306">
        <f t="shared" ca="1" si="107"/>
        <v>0</v>
      </c>
      <c r="S230" s="307">
        <f t="shared" ca="1" si="108"/>
        <v>1.7842999999999964</v>
      </c>
      <c r="T230" s="304">
        <f t="shared" ca="1" si="88"/>
        <v>17.503982999999966</v>
      </c>
      <c r="U230" s="311">
        <f t="shared" ca="1" si="89"/>
        <v>0</v>
      </c>
      <c r="V230" s="306">
        <f t="shared" ca="1" si="90"/>
        <v>0.94185320272793138</v>
      </c>
      <c r="W230" s="304">
        <f t="shared" ca="1" si="91"/>
        <v>12.396321401818211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2613.437743873048</v>
      </c>
      <c r="AG230" s="306">
        <f t="shared" ca="1" si="114"/>
        <v>-16.753718110958602</v>
      </c>
      <c r="AH230" s="304">
        <f t="shared" ca="1" si="115"/>
        <v>-7.1916081041281217</v>
      </c>
    </row>
    <row r="231" spans="1:34" x14ac:dyDescent="0.2">
      <c r="A231" s="347">
        <f t="shared" ca="1" si="93"/>
        <v>0.1</v>
      </c>
      <c r="B231" s="304">
        <f t="shared" ca="1" si="94"/>
        <v>15.399999999999947</v>
      </c>
      <c r="D231" s="306">
        <f t="shared" ca="1" si="95"/>
        <v>-1.5669192628427397</v>
      </c>
      <c r="E231" s="307">
        <f t="shared" ca="1" si="96"/>
        <v>-16.578435517935951</v>
      </c>
      <c r="F231" s="304">
        <f t="shared" ca="1" si="97"/>
        <v>16.65231996445624</v>
      </c>
      <c r="G231" s="306">
        <f t="shared" ca="1" si="98"/>
        <v>22.176096890515044</v>
      </c>
      <c r="H231" s="307">
        <f t="shared" ca="1" si="99"/>
        <v>94.810458693692297</v>
      </c>
      <c r="I231" s="304">
        <f t="shared" ca="1" si="100"/>
        <v>97.369411783197307</v>
      </c>
      <c r="J231" s="306">
        <f t="shared" ca="1" si="101"/>
        <v>375.83641537084065</v>
      </c>
      <c r="K231" s="307">
        <f t="shared" ca="1" si="102"/>
        <v>2623.0016819200068</v>
      </c>
      <c r="L231" s="304">
        <f t="shared" ca="1" si="87"/>
        <v>2649.7907152214848</v>
      </c>
      <c r="M231" s="306">
        <f t="shared" ca="1" si="103"/>
        <v>1.341027747148928</v>
      </c>
      <c r="N231" s="304">
        <f t="shared" ca="1" si="104"/>
        <v>76.83523012157049</v>
      </c>
      <c r="P231" s="310">
        <f t="shared" ca="1" si="105"/>
        <v>23</v>
      </c>
      <c r="Q231" s="304">
        <f t="shared" ca="1" si="106"/>
        <v>0</v>
      </c>
      <c r="R231" s="306">
        <f t="shared" ca="1" si="107"/>
        <v>0</v>
      </c>
      <c r="S231" s="307">
        <f t="shared" ca="1" si="108"/>
        <v>1.7842999999999964</v>
      </c>
      <c r="T231" s="304">
        <f t="shared" ca="1" si="88"/>
        <v>17.503982999999966</v>
      </c>
      <c r="U231" s="311">
        <f t="shared" ca="1" si="89"/>
        <v>0</v>
      </c>
      <c r="V231" s="306">
        <f t="shared" ca="1" si="90"/>
        <v>0.9409371593982655</v>
      </c>
      <c r="W231" s="304">
        <f t="shared" ca="1" si="91"/>
        <v>11.974923230266231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2623.0016819200068</v>
      </c>
      <c r="AG231" s="306">
        <f t="shared" ca="1" si="114"/>
        <v>-16.504679252657592</v>
      </c>
      <c r="AH231" s="304">
        <f t="shared" ca="1" si="115"/>
        <v>-6.9474423593668302</v>
      </c>
    </row>
    <row r="232" spans="1:34" x14ac:dyDescent="0.2">
      <c r="A232" s="347">
        <f t="shared" ca="1" si="93"/>
        <v>0.1</v>
      </c>
      <c r="B232" s="304">
        <f t="shared" ca="1" si="94"/>
        <v>15.499999999999947</v>
      </c>
      <c r="D232" s="306">
        <f t="shared" ca="1" si="95"/>
        <v>-1.5285069804810991</v>
      </c>
      <c r="E232" s="307">
        <f t="shared" ca="1" si="96"/>
        <v>-16.344894244528074</v>
      </c>
      <c r="F232" s="304">
        <f t="shared" ca="1" si="97"/>
        <v>16.416208498133376</v>
      </c>
      <c r="G232" s="306">
        <f t="shared" ca="1" si="98"/>
        <v>22.023246192466935</v>
      </c>
      <c r="H232" s="307">
        <f t="shared" ca="1" si="99"/>
        <v>93.175969269239488</v>
      </c>
      <c r="I232" s="304">
        <f t="shared" ca="1" si="100"/>
        <v>95.743326775897387</v>
      </c>
      <c r="J232" s="306">
        <f t="shared" ca="1" si="101"/>
        <v>378.04638252498978</v>
      </c>
      <c r="K232" s="307">
        <f t="shared" ca="1" si="102"/>
        <v>2632.4010033181535</v>
      </c>
      <c r="L232" s="304">
        <f t="shared" ca="1" si="87"/>
        <v>2659.4086014771501</v>
      </c>
      <c r="M232" s="306">
        <f t="shared" ca="1" si="103"/>
        <v>1.3386941630769882</v>
      </c>
      <c r="N232" s="304">
        <f t="shared" ca="1" si="104"/>
        <v>76.701525603109388</v>
      </c>
      <c r="P232" s="310">
        <f t="shared" ca="1" si="105"/>
        <v>23</v>
      </c>
      <c r="Q232" s="304">
        <f t="shared" ca="1" si="106"/>
        <v>0</v>
      </c>
      <c r="R232" s="306">
        <f t="shared" ca="1" si="107"/>
        <v>0</v>
      </c>
      <c r="S232" s="307">
        <f t="shared" ca="1" si="108"/>
        <v>1.7842999999999964</v>
      </c>
      <c r="T232" s="304">
        <f t="shared" ca="1" si="88"/>
        <v>17.503982999999966</v>
      </c>
      <c r="U232" s="311">
        <f t="shared" ca="1" si="89"/>
        <v>0</v>
      </c>
      <c r="V232" s="306">
        <f t="shared" ca="1" si="90"/>
        <v>0.94003763753638303</v>
      </c>
      <c r="W232" s="304">
        <f t="shared" ca="1" si="91"/>
        <v>11.567227973367267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2632.4010033181535</v>
      </c>
      <c r="AG232" s="306">
        <f t="shared" ca="1" si="114"/>
        <v>-16.263456978116871</v>
      </c>
      <c r="AH232" s="304">
        <f t="shared" ca="1" si="115"/>
        <v>-6.7112723366397216</v>
      </c>
    </row>
    <row r="233" spans="1:34" x14ac:dyDescent="0.2">
      <c r="A233" s="347">
        <f t="shared" ca="1" si="93"/>
        <v>0.1</v>
      </c>
      <c r="B233" s="304">
        <f t="shared" ca="1" si="94"/>
        <v>15.599999999999946</v>
      </c>
      <c r="D233" s="306">
        <f t="shared" ca="1" si="95"/>
        <v>-1.491194315389561</v>
      </c>
      <c r="E233" s="307">
        <f t="shared" ca="1" si="96"/>
        <v>-16.118946214873993</v>
      </c>
      <c r="F233" s="304">
        <f t="shared" ca="1" si="97"/>
        <v>16.187775868359765</v>
      </c>
      <c r="G233" s="306">
        <f t="shared" ca="1" si="98"/>
        <v>21.874126760927979</v>
      </c>
      <c r="H233" s="307">
        <f t="shared" ca="1" si="99"/>
        <v>91.564074647752093</v>
      </c>
      <c r="I233" s="304">
        <f t="shared" ca="1" si="100"/>
        <v>94.14062453400372</v>
      </c>
      <c r="J233" s="306">
        <f t="shared" ca="1" si="101"/>
        <v>380.24125117265953</v>
      </c>
      <c r="K233" s="307">
        <f t="shared" ca="1" si="102"/>
        <v>2641.638005514003</v>
      </c>
      <c r="L233" s="304">
        <f t="shared" ca="1" si="87"/>
        <v>2668.8639458146508</v>
      </c>
      <c r="M233" s="306">
        <f t="shared" ca="1" si="103"/>
        <v>1.3362971788950231</v>
      </c>
      <c r="N233" s="304">
        <f t="shared" ca="1" si="104"/>
        <v>76.564188525923171</v>
      </c>
      <c r="P233" s="310">
        <f t="shared" ca="1" si="105"/>
        <v>23</v>
      </c>
      <c r="Q233" s="304">
        <f t="shared" ca="1" si="106"/>
        <v>0</v>
      </c>
      <c r="R233" s="306">
        <f t="shared" ca="1" si="107"/>
        <v>0</v>
      </c>
      <c r="S233" s="307">
        <f t="shared" ca="1" si="108"/>
        <v>1.7842999999999964</v>
      </c>
      <c r="T233" s="304">
        <f t="shared" ca="1" si="88"/>
        <v>17.503982999999966</v>
      </c>
      <c r="U233" s="311">
        <f t="shared" ca="1" si="89"/>
        <v>0</v>
      </c>
      <c r="V233" s="306">
        <f t="shared" ca="1" si="90"/>
        <v>0.93915437734967977</v>
      </c>
      <c r="W233" s="304">
        <f t="shared" ca="1" si="91"/>
        <v>11.172700637438577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2641.638005514003</v>
      </c>
      <c r="AG233" s="306">
        <f t="shared" ca="1" si="114"/>
        <v>-16.02972685804577</v>
      </c>
      <c r="AH233" s="304">
        <f t="shared" ca="1" si="115"/>
        <v>-6.4827820284522168</v>
      </c>
    </row>
    <row r="234" spans="1:34" x14ac:dyDescent="0.2">
      <c r="A234" s="347">
        <f t="shared" ca="1" si="93"/>
        <v>0.1</v>
      </c>
      <c r="B234" s="304">
        <f t="shared" ca="1" si="94"/>
        <v>15.699999999999946</v>
      </c>
      <c r="D234" s="306">
        <f t="shared" ca="1" si="95"/>
        <v>-1.4549361554674702</v>
      </c>
      <c r="E234" s="307">
        <f t="shared" ca="1" si="96"/>
        <v>-15.900294904247193</v>
      </c>
      <c r="F234" s="304">
        <f t="shared" ca="1" si="97"/>
        <v>15.966722182668418</v>
      </c>
      <c r="G234" s="306">
        <f t="shared" ca="1" si="98"/>
        <v>21.728633145381231</v>
      </c>
      <c r="H234" s="307">
        <f t="shared" ca="1" si="99"/>
        <v>89.974045157327367</v>
      </c>
      <c r="I234" s="304">
        <f t="shared" ca="1" si="100"/>
        <v>92.560587186660314</v>
      </c>
      <c r="J234" s="306">
        <f t="shared" ca="1" si="101"/>
        <v>382.42138916797501</v>
      </c>
      <c r="K234" s="307">
        <f t="shared" ca="1" si="102"/>
        <v>2650.7149115042571</v>
      </c>
      <c r="L234" s="304">
        <f t="shared" ca="1" si="87"/>
        <v>2678.1590059151054</v>
      </c>
      <c r="M234" s="306">
        <f t="shared" ca="1" si="103"/>
        <v>1.3338345612058093</v>
      </c>
      <c r="N234" s="304">
        <f t="shared" ca="1" si="104"/>
        <v>76.423090925776961</v>
      </c>
      <c r="P234" s="310">
        <f t="shared" ca="1" si="105"/>
        <v>23</v>
      </c>
      <c r="Q234" s="304">
        <f t="shared" ca="1" si="106"/>
        <v>0</v>
      </c>
      <c r="R234" s="306">
        <f t="shared" ca="1" si="107"/>
        <v>0</v>
      </c>
      <c r="S234" s="307">
        <f t="shared" ca="1" si="108"/>
        <v>1.7842999999999964</v>
      </c>
      <c r="T234" s="304">
        <f t="shared" ca="1" si="88"/>
        <v>17.503982999999966</v>
      </c>
      <c r="U234" s="311">
        <f t="shared" ca="1" si="89"/>
        <v>0</v>
      </c>
      <c r="V234" s="306">
        <f t="shared" ca="1" si="90"/>
        <v>0.93828712764439026</v>
      </c>
      <c r="W234" s="304">
        <f t="shared" ca="1" si="91"/>
        <v>10.790833348764702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2650.7149115042571</v>
      </c>
      <c r="AG234" s="306">
        <f t="shared" ca="1" si="114"/>
        <v>-15.803180133887343</v>
      </c>
      <c r="AH234" s="304">
        <f t="shared" ca="1" si="115"/>
        <v>-6.2616716008735072</v>
      </c>
    </row>
    <row r="235" spans="1:34" x14ac:dyDescent="0.2">
      <c r="A235" s="347">
        <f t="shared" ca="1" si="93"/>
        <v>0.1</v>
      </c>
      <c r="B235" s="304">
        <f t="shared" ca="1" si="94"/>
        <v>15.799999999999946</v>
      </c>
      <c r="D235" s="306">
        <f t="shared" ca="1" si="95"/>
        <v>-1.419689651027586</v>
      </c>
      <c r="E235" s="307">
        <f t="shared" ca="1" si="96"/>
        <v>-15.688658814675534</v>
      </c>
      <c r="F235" s="304">
        <f t="shared" ca="1" si="97"/>
        <v>15.752762745262533</v>
      </c>
      <c r="G235" s="306">
        <f t="shared" ca="1" si="98"/>
        <v>21.586664180278472</v>
      </c>
      <c r="H235" s="307">
        <f t="shared" ca="1" si="99"/>
        <v>88.405179275859808</v>
      </c>
      <c r="I235" s="304">
        <f t="shared" ca="1" si="100"/>
        <v>91.002526301356212</v>
      </c>
      <c r="J235" s="306">
        <f t="shared" ca="1" si="101"/>
        <v>384.58715403425799</v>
      </c>
      <c r="K235" s="307">
        <f t="shared" ca="1" si="102"/>
        <v>2659.6338727259163</v>
      </c>
      <c r="L235" s="304">
        <f t="shared" ca="1" si="87"/>
        <v>2687.2959673246314</v>
      </c>
      <c r="M235" s="306">
        <f t="shared" ca="1" si="103"/>
        <v>1.3313039680529226</v>
      </c>
      <c r="N235" s="304">
        <f t="shared" ca="1" si="104"/>
        <v>76.27809861845185</v>
      </c>
      <c r="P235" s="310">
        <f t="shared" ca="1" si="105"/>
        <v>23</v>
      </c>
      <c r="Q235" s="304">
        <f t="shared" ca="1" si="106"/>
        <v>0</v>
      </c>
      <c r="R235" s="306">
        <f t="shared" ca="1" si="107"/>
        <v>0</v>
      </c>
      <c r="S235" s="307">
        <f t="shared" ca="1" si="108"/>
        <v>1.7842999999999964</v>
      </c>
      <c r="T235" s="304">
        <f t="shared" ca="1" si="88"/>
        <v>17.503982999999966</v>
      </c>
      <c r="U235" s="311">
        <f t="shared" ca="1" si="89"/>
        <v>0</v>
      </c>
      <c r="V235" s="306">
        <f t="shared" ca="1" si="90"/>
        <v>0.93743564548403635</v>
      </c>
      <c r="W235" s="304">
        <f t="shared" ca="1" si="91"/>
        <v>10.421143737105659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2659.6338727259163</v>
      </c>
      <c r="AG235" s="306">
        <f t="shared" ca="1" si="114"/>
        <v>-15.58352270765273</v>
      </c>
      <c r="AH235" s="304">
        <f t="shared" ca="1" si="115"/>
        <v>-6.0476564191922453</v>
      </c>
    </row>
    <row r="236" spans="1:34" x14ac:dyDescent="0.2">
      <c r="A236" s="347">
        <f t="shared" ca="1" si="93"/>
        <v>0.1</v>
      </c>
      <c r="B236" s="304">
        <f t="shared" ca="1" si="94"/>
        <v>15.899999999999945</v>
      </c>
      <c r="D236" s="306">
        <f t="shared" ca="1" si="95"/>
        <v>-1.3854140801031398</v>
      </c>
      <c r="E236" s="307">
        <f t="shared" ca="1" si="96"/>
        <v>-15.483770578907411</v>
      </c>
      <c r="F236" s="304">
        <f t="shared" ca="1" si="97"/>
        <v>15.545627150861002</v>
      </c>
      <c r="G236" s="306">
        <f t="shared" ca="1" si="98"/>
        <v>21.448122772268157</v>
      </c>
      <c r="H236" s="307">
        <f t="shared" ca="1" si="99"/>
        <v>86.856802217969062</v>
      </c>
      <c r="I236" s="304">
        <f t="shared" ca="1" si="100"/>
        <v>89.465781514418595</v>
      </c>
      <c r="J236" s="306">
        <f t="shared" ca="1" si="101"/>
        <v>386.7388933818853</v>
      </c>
      <c r="K236" s="307">
        <f t="shared" ca="1" si="102"/>
        <v>2668.3969718006078</v>
      </c>
      <c r="L236" s="304">
        <f t="shared" ca="1" si="87"/>
        <v>2696.276946229541</v>
      </c>
      <c r="M236" s="306">
        <f t="shared" ca="1" si="103"/>
        <v>1.3287029424714336</v>
      </c>
      <c r="N236" s="304">
        <f t="shared" ca="1" si="104"/>
        <v>76.129070830226965</v>
      </c>
      <c r="P236" s="310">
        <f t="shared" ca="1" si="105"/>
        <v>23</v>
      </c>
      <c r="Q236" s="304">
        <f t="shared" ca="1" si="106"/>
        <v>0</v>
      </c>
      <c r="R236" s="306">
        <f t="shared" ca="1" si="107"/>
        <v>0</v>
      </c>
      <c r="S236" s="307">
        <f t="shared" ca="1" si="108"/>
        <v>1.7842999999999964</v>
      </c>
      <c r="T236" s="304">
        <f t="shared" ca="1" si="88"/>
        <v>17.503982999999966</v>
      </c>
      <c r="U236" s="311">
        <f t="shared" ca="1" si="89"/>
        <v>0</v>
      </c>
      <c r="V236" s="306">
        <f t="shared" ca="1" si="90"/>
        <v>0.93659969586538461</v>
      </c>
      <c r="W236" s="304">
        <f t="shared" ca="1" si="91"/>
        <v>10.063173431537122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2668.3969718006078</v>
      </c>
      <c r="AG236" s="306">
        <f t="shared" ca="1" si="114"/>
        <v>-15.370474197171418</v>
      </c>
      <c r="AH236" s="304">
        <f t="shared" ca="1" si="115"/>
        <v>-5.8404661419636161</v>
      </c>
    </row>
    <row r="237" spans="1:34" x14ac:dyDescent="0.2">
      <c r="A237" s="347">
        <f t="shared" ca="1" si="93"/>
        <v>0.1</v>
      </c>
      <c r="B237" s="304">
        <f t="shared" ca="1" si="94"/>
        <v>15.999999999999945</v>
      </c>
      <c r="D237" s="306">
        <f t="shared" ca="1" si="95"/>
        <v>-1.3520707231796247</v>
      </c>
      <c r="E237" s="307">
        <f t="shared" ca="1" si="96"/>
        <v>-15.285376126611947</v>
      </c>
      <c r="F237" s="304">
        <f t="shared" ca="1" si="97"/>
        <v>15.345058441481346</v>
      </c>
      <c r="G237" s="306">
        <f t="shared" ca="1" si="98"/>
        <v>21.312915699950196</v>
      </c>
      <c r="H237" s="307">
        <f t="shared" ca="1" si="99"/>
        <v>85.328264605307865</v>
      </c>
      <c r="I237" s="304">
        <f t="shared" ca="1" si="100"/>
        <v>87.949719250186448</v>
      </c>
      <c r="J237" s="306">
        <f t="shared" ca="1" si="101"/>
        <v>388.87694530549624</v>
      </c>
      <c r="K237" s="307">
        <f t="shared" ca="1" si="102"/>
        <v>2677.0062251417717</v>
      </c>
      <c r="L237" s="304">
        <f t="shared" ca="1" si="87"/>
        <v>2705.1039920930825</v>
      </c>
      <c r="M237" s="306">
        <f t="shared" ca="1" si="103"/>
        <v>1.3260289055807315</v>
      </c>
      <c r="N237" s="304">
        <f t="shared" ca="1" si="104"/>
        <v>75.975859802127445</v>
      </c>
      <c r="P237" s="310">
        <f t="shared" ca="1" si="105"/>
        <v>23</v>
      </c>
      <c r="Q237" s="304">
        <f t="shared" ca="1" si="106"/>
        <v>0</v>
      </c>
      <c r="R237" s="306">
        <f t="shared" ca="1" si="107"/>
        <v>0</v>
      </c>
      <c r="S237" s="307">
        <f t="shared" ca="1" si="108"/>
        <v>1.7842999999999964</v>
      </c>
      <c r="T237" s="304">
        <f t="shared" ca="1" si="88"/>
        <v>17.503982999999966</v>
      </c>
      <c r="U237" s="311">
        <f t="shared" ca="1" si="89"/>
        <v>0</v>
      </c>
      <c r="V237" s="306">
        <f t="shared" ca="1" si="90"/>
        <v>0.93577905141085971</v>
      </c>
      <c r="W237" s="304">
        <f t="shared" ca="1" si="91"/>
        <v>9.716486659784799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>
        <f t="shared" ca="1" si="112"/>
        <v>15.999999999999945</v>
      </c>
      <c r="AD237" s="323">
        <f t="shared" ca="1" si="113"/>
        <v>388.87694530549624</v>
      </c>
      <c r="AE237" s="324">
        <f t="shared" ca="1" si="92"/>
        <v>2677.0062251417717</v>
      </c>
      <c r="AG237" s="306">
        <f t="shared" ca="1" si="114"/>
        <v>-15.16376705104069</v>
      </c>
      <c r="AH237" s="304">
        <f t="shared" ca="1" si="115"/>
        <v>-5.6398438780121847</v>
      </c>
    </row>
    <row r="238" spans="1:34" x14ac:dyDescent="0.2">
      <c r="A238" s="347">
        <f t="shared" ca="1" si="93"/>
        <v>0.1</v>
      </c>
      <c r="B238" s="304">
        <f t="shared" ca="1" si="94"/>
        <v>16.099999999999945</v>
      </c>
      <c r="D238" s="306">
        <f t="shared" ca="1" si="95"/>
        <v>-1.3196227466165726</v>
      </c>
      <c r="E238" s="307">
        <f t="shared" ca="1" si="96"/>
        <v>-15.093233907913651</v>
      </c>
      <c r="F238" s="304">
        <f t="shared" ca="1" si="97"/>
        <v>15.150812321205166</v>
      </c>
      <c r="G238" s="306">
        <f t="shared" ca="1" si="98"/>
        <v>21.180953425288539</v>
      </c>
      <c r="H238" s="307">
        <f t="shared" ca="1" si="99"/>
        <v>83.818941214516499</v>
      </c>
      <c r="I238" s="304">
        <f t="shared" ca="1" si="100"/>
        <v>86.453731523438691</v>
      </c>
      <c r="J238" s="306">
        <f t="shared" ca="1" si="101"/>
        <v>391.00163876175816</v>
      </c>
      <c r="K238" s="307">
        <f t="shared" ca="1" si="102"/>
        <v>2685.463585432763</v>
      </c>
      <c r="L238" s="304">
        <f t="shared" ca="1" si="87"/>
        <v>2713.7790901618669</v>
      </c>
      <c r="M238" s="306">
        <f t="shared" ca="1" si="103"/>
        <v>1.3232791491821458</v>
      </c>
      <c r="N238" s="304">
        <f t="shared" ca="1" si="104"/>
        <v>75.818310365799405</v>
      </c>
      <c r="P238" s="310">
        <f t="shared" ca="1" si="105"/>
        <v>23</v>
      </c>
      <c r="Q238" s="304">
        <f t="shared" ca="1" si="106"/>
        <v>0</v>
      </c>
      <c r="R238" s="306">
        <f t="shared" ca="1" si="107"/>
        <v>0</v>
      </c>
      <c r="S238" s="307">
        <f t="shared" ca="1" si="108"/>
        <v>1.7842999999999964</v>
      </c>
      <c r="T238" s="304">
        <f t="shared" ca="1" si="88"/>
        <v>17.503982999999966</v>
      </c>
      <c r="U238" s="311">
        <f t="shared" ca="1" si="89"/>
        <v>0</v>
      </c>
      <c r="V238" s="306">
        <f t="shared" ca="1" si="90"/>
        <v>0.93497349207643465</v>
      </c>
      <c r="W238" s="304">
        <f t="shared" ca="1" si="91"/>
        <v>9.3806689429924486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2685.463585432763</v>
      </c>
      <c r="AG238" s="306">
        <f t="shared" ca="1" si="114"/>
        <v>-14.963145718010312</v>
      </c>
      <c r="AH238" s="304">
        <f t="shared" ca="1" si="115"/>
        <v>-5.4455454014374371</v>
      </c>
    </row>
    <row r="239" spans="1:34" x14ac:dyDescent="0.2">
      <c r="A239" s="347">
        <f t="shared" ca="1" si="93"/>
        <v>0.1</v>
      </c>
      <c r="B239" s="304">
        <f t="shared" ca="1" si="94"/>
        <v>16.199999999999946</v>
      </c>
      <c r="D239" s="306">
        <f t="shared" ca="1" si="95"/>
        <v>-1.2880350940898799</v>
      </c>
      <c r="E239" s="307">
        <f t="shared" ca="1" si="96"/>
        <v>-14.907114169792532</v>
      </c>
      <c r="F239" s="304">
        <f t="shared" ca="1" si="97"/>
        <v>14.96265642440661</v>
      </c>
      <c r="G239" s="306">
        <f t="shared" ca="1" si="98"/>
        <v>21.05214991587955</v>
      </c>
      <c r="H239" s="307">
        <f t="shared" ca="1" si="99"/>
        <v>82.328229797537247</v>
      </c>
      <c r="I239" s="304">
        <f t="shared" ca="1" si="100"/>
        <v>84.977234820137369</v>
      </c>
      <c r="J239" s="306">
        <f t="shared" ca="1" si="101"/>
        <v>393.11329392881657</v>
      </c>
      <c r="K239" s="307">
        <f t="shared" ca="1" si="102"/>
        <v>2693.7709439833657</v>
      </c>
      <c r="L239" s="304">
        <f t="shared" ca="1" si="87"/>
        <v>2722.3041638495497</v>
      </c>
      <c r="M239" s="306">
        <f t="shared" ca="1" si="103"/>
        <v>1.3204508278206155</v>
      </c>
      <c r="N239" s="304">
        <f t="shared" ca="1" si="104"/>
        <v>75.656259488677023</v>
      </c>
      <c r="P239" s="310">
        <f t="shared" ca="1" si="105"/>
        <v>23</v>
      </c>
      <c r="Q239" s="304">
        <f t="shared" ca="1" si="106"/>
        <v>0</v>
      </c>
      <c r="R239" s="306">
        <f t="shared" ca="1" si="107"/>
        <v>0</v>
      </c>
      <c r="S239" s="307">
        <f t="shared" ca="1" si="108"/>
        <v>1.7842999999999964</v>
      </c>
      <c r="T239" s="304">
        <f t="shared" ca="1" si="88"/>
        <v>17.503982999999966</v>
      </c>
      <c r="U239" s="311">
        <f t="shared" ca="1" si="89"/>
        <v>0</v>
      </c>
      <c r="V239" s="306">
        <f t="shared" ca="1" si="90"/>
        <v>0.93418280487408423</v>
      </c>
      <c r="W239" s="304">
        <f t="shared" ca="1" si="91"/>
        <v>9.0553258785641066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2693.7709439833657</v>
      </c>
      <c r="AG239" s="306">
        <f t="shared" ca="1" si="114"/>
        <v>-14.768365865941021</v>
      </c>
      <c r="AH239" s="304">
        <f t="shared" ca="1" si="115"/>
        <v>-5.2573384201045048</v>
      </c>
    </row>
    <row r="240" spans="1:34" x14ac:dyDescent="0.2">
      <c r="A240" s="347">
        <f t="shared" ca="1" si="93"/>
        <v>0.1</v>
      </c>
      <c r="B240" s="304">
        <f t="shared" ca="1" si="94"/>
        <v>16.299999999999947</v>
      </c>
      <c r="D240" s="306">
        <f t="shared" ca="1" si="95"/>
        <v>-1.2572743854442636</v>
      </c>
      <c r="E240" s="307">
        <f t="shared" ca="1" si="96"/>
        <v>-14.726798281268946</v>
      </c>
      <c r="F240" s="304">
        <f t="shared" ca="1" si="97"/>
        <v>14.780369633317031</v>
      </c>
      <c r="G240" s="306">
        <f t="shared" ca="1" si="98"/>
        <v>20.926422477335123</v>
      </c>
      <c r="H240" s="307">
        <f t="shared" ca="1" si="99"/>
        <v>80.855549969410347</v>
      </c>
      <c r="I240" s="304">
        <f t="shared" ca="1" si="100"/>
        <v>83.519669052000737</v>
      </c>
      <c r="J240" s="306">
        <f t="shared" ca="1" si="101"/>
        <v>395.21222254847731</v>
      </c>
      <c r="K240" s="307">
        <f t="shared" ca="1" si="102"/>
        <v>2701.9301329717132</v>
      </c>
      <c r="L240" s="304">
        <f t="shared" ca="1" si="87"/>
        <v>2730.6810770048278</v>
      </c>
      <c r="M240" s="306">
        <f t="shared" ca="1" si="103"/>
        <v>1.3175409502658981</v>
      </c>
      <c r="N240" s="304">
        <f t="shared" ca="1" si="104"/>
        <v>75.48953578589186</v>
      </c>
      <c r="P240" s="310">
        <f t="shared" ca="1" si="105"/>
        <v>23</v>
      </c>
      <c r="Q240" s="304">
        <f t="shared" ca="1" si="106"/>
        <v>0</v>
      </c>
      <c r="R240" s="306">
        <f t="shared" ca="1" si="107"/>
        <v>0</v>
      </c>
      <c r="S240" s="307">
        <f t="shared" ca="1" si="108"/>
        <v>1.7842999999999964</v>
      </c>
      <c r="T240" s="304">
        <f t="shared" ca="1" si="88"/>
        <v>17.503982999999966</v>
      </c>
      <c r="U240" s="311">
        <f t="shared" ca="1" si="89"/>
        <v>0</v>
      </c>
      <c r="V240" s="306">
        <f t="shared" ca="1" si="90"/>
        <v>0.93340678360795559</v>
      </c>
      <c r="W240" s="304">
        <f t="shared" ca="1" si="91"/>
        <v>8.7400820043558802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2701.9301329717132</v>
      </c>
      <c r="AG240" s="306">
        <f t="shared" ca="1" si="114"/>
        <v>-14.57919364583122</v>
      </c>
      <c r="AH240" s="304">
        <f t="shared" ca="1" si="115"/>
        <v>-5.0750018934955587</v>
      </c>
    </row>
    <row r="241" spans="1:34" x14ac:dyDescent="0.2">
      <c r="A241" s="347">
        <f t="shared" ca="1" si="93"/>
        <v>0.1</v>
      </c>
      <c r="B241" s="304">
        <f t="shared" ca="1" si="94"/>
        <v>16.399999999999949</v>
      </c>
      <c r="D241" s="306">
        <f t="shared" ca="1" si="95"/>
        <v>-1.2273088223989226</v>
      </c>
      <c r="E241" s="307">
        <f t="shared" ca="1" si="96"/>
        <v>-14.552078103643989</v>
      </c>
      <c r="F241" s="304">
        <f t="shared" ca="1" si="97"/>
        <v>14.603741441154492</v>
      </c>
      <c r="G241" s="306">
        <f t="shared" ca="1" si="98"/>
        <v>20.803691595095231</v>
      </c>
      <c r="H241" s="307">
        <f t="shared" ca="1" si="99"/>
        <v>79.400342159045948</v>
      </c>
      <c r="I241" s="304">
        <f t="shared" ca="1" si="100"/>
        <v>82.080496580840716</v>
      </c>
      <c r="J241" s="306">
        <f t="shared" ca="1" si="101"/>
        <v>397.29872825209884</v>
      </c>
      <c r="K241" s="307">
        <f t="shared" ca="1" si="102"/>
        <v>2709.9429275781358</v>
      </c>
      <c r="L241" s="304">
        <f t="shared" ca="1" si="87"/>
        <v>2738.9116360703374</v>
      </c>
      <c r="M241" s="306">
        <f t="shared" ca="1" si="103"/>
        <v>1.3145463703646787</v>
      </c>
      <c r="N241" s="304">
        <f t="shared" ca="1" si="104"/>
        <v>75.317958996137278</v>
      </c>
      <c r="P241" s="310">
        <f t="shared" ca="1" si="105"/>
        <v>23</v>
      </c>
      <c r="Q241" s="304">
        <f t="shared" ca="1" si="106"/>
        <v>0</v>
      </c>
      <c r="R241" s="306">
        <f t="shared" ca="1" si="107"/>
        <v>0</v>
      </c>
      <c r="S241" s="307">
        <f t="shared" ca="1" si="108"/>
        <v>1.7842999999999964</v>
      </c>
      <c r="T241" s="304">
        <f t="shared" ca="1" si="88"/>
        <v>17.503982999999966</v>
      </c>
      <c r="U241" s="311">
        <f t="shared" ca="1" si="89"/>
        <v>0</v>
      </c>
      <c r="V241" s="306">
        <f t="shared" ca="1" si="90"/>
        <v>0.93264522862345745</v>
      </c>
      <c r="W241" s="304">
        <f t="shared" ca="1" si="91"/>
        <v>8.4345797380662244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2709.9429275781358</v>
      </c>
      <c r="AG241" s="306">
        <f t="shared" ca="1" si="114"/>
        <v>-14.395404996720682</v>
      </c>
      <c r="AH241" s="304">
        <f t="shared" ca="1" si="115"/>
        <v>-4.898325396153056</v>
      </c>
    </row>
    <row r="242" spans="1:34" x14ac:dyDescent="0.2">
      <c r="A242" s="347">
        <f t="shared" ca="1" si="93"/>
        <v>0.1</v>
      </c>
      <c r="B242" s="304">
        <f t="shared" ca="1" si="94"/>
        <v>16.49999999999995</v>
      </c>
      <c r="D242" s="306">
        <f t="shared" ca="1" si="95"/>
        <v>-1.1981081005979011</v>
      </c>
      <c r="E242" s="307">
        <f t="shared" ca="1" si="96"/>
        <v>-14.382755402383793</v>
      </c>
      <c r="F242" s="304">
        <f t="shared" ca="1" si="97"/>
        <v>14.432571357367976</v>
      </c>
      <c r="G242" s="306">
        <f t="shared" ca="1" si="98"/>
        <v>20.683880785035441</v>
      </c>
      <c r="H242" s="307">
        <f t="shared" ca="1" si="99"/>
        <v>77.962066618807569</v>
      </c>
      <c r="I242" s="304">
        <f t="shared" ca="1" si="100"/>
        <v>80.659201308994795</v>
      </c>
      <c r="J242" s="306">
        <f t="shared" ca="1" si="101"/>
        <v>399.37310687110539</v>
      </c>
      <c r="K242" s="307">
        <f t="shared" ca="1" si="102"/>
        <v>2717.8110480170285</v>
      </c>
      <c r="L242" s="304">
        <f t="shared" ca="1" si="87"/>
        <v>2746.9975921386058</v>
      </c>
      <c r="M242" s="306">
        <f t="shared" ca="1" si="103"/>
        <v>1.3114637772103765</v>
      </c>
      <c r="N242" s="304">
        <f t="shared" ca="1" si="104"/>
        <v>75.141339418439856</v>
      </c>
      <c r="P242" s="310">
        <f t="shared" ca="1" si="105"/>
        <v>23</v>
      </c>
      <c r="Q242" s="304">
        <f t="shared" ca="1" si="106"/>
        <v>0</v>
      </c>
      <c r="R242" s="306">
        <f t="shared" ca="1" si="107"/>
        <v>0</v>
      </c>
      <c r="S242" s="307">
        <f t="shared" ca="1" si="108"/>
        <v>1.7842999999999964</v>
      </c>
      <c r="T242" s="304">
        <f t="shared" ca="1" si="88"/>
        <v>17.503982999999966</v>
      </c>
      <c r="U242" s="311">
        <f t="shared" ca="1" si="89"/>
        <v>0</v>
      </c>
      <c r="V242" s="306">
        <f t="shared" ca="1" si="90"/>
        <v>0.93189794656853908</v>
      </c>
      <c r="W242" s="304">
        <f t="shared" ca="1" si="91"/>
        <v>8.138478386194139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2717.8110480170285</v>
      </c>
      <c r="AG242" s="306">
        <f t="shared" ca="1" si="114"/>
        <v>-14.216784987555098</v>
      </c>
      <c r="AH242" s="304">
        <f t="shared" ca="1" si="115"/>
        <v>-4.727108523267523</v>
      </c>
    </row>
    <row r="243" spans="1:34" x14ac:dyDescent="0.2">
      <c r="A243" s="347">
        <f t="shared" ca="1" si="93"/>
        <v>0.1</v>
      </c>
      <c r="B243" s="304">
        <f t="shared" ca="1" si="94"/>
        <v>16.599999999999952</v>
      </c>
      <c r="D243" s="306">
        <f t="shared" ca="1" si="95"/>
        <v>-1.169643327540741</v>
      </c>
      <c r="E243" s="307">
        <f t="shared" ca="1" si="96"/>
        <v>-14.218641297524226</v>
      </c>
      <c r="F243" s="304">
        <f t="shared" ca="1" si="97"/>
        <v>14.266668351837509</v>
      </c>
      <c r="G243" s="306">
        <f t="shared" ca="1" si="98"/>
        <v>20.566916452281369</v>
      </c>
      <c r="H243" s="307">
        <f t="shared" ca="1" si="99"/>
        <v>76.540202489055147</v>
      </c>
      <c r="I243" s="304">
        <f t="shared" ca="1" si="100"/>
        <v>79.255287832552128</v>
      </c>
      <c r="J243" s="306">
        <f t="shared" ca="1" si="101"/>
        <v>401.43564673297124</v>
      </c>
      <c r="K243" s="307">
        <f t="shared" ca="1" si="102"/>
        <v>2725.5361614724216</v>
      </c>
      <c r="L243" s="304">
        <f t="shared" ca="1" si="87"/>
        <v>2754.9406429107944</v>
      </c>
      <c r="M243" s="306">
        <f t="shared" ca="1" si="103"/>
        <v>1.3082896845724361</v>
      </c>
      <c r="N243" s="304">
        <f t="shared" ca="1" si="104"/>
        <v>74.959477306502322</v>
      </c>
      <c r="P243" s="310">
        <f t="shared" ca="1" si="105"/>
        <v>23</v>
      </c>
      <c r="Q243" s="304">
        <f t="shared" ca="1" si="106"/>
        <v>0</v>
      </c>
      <c r="R243" s="306">
        <f t="shared" ca="1" si="107"/>
        <v>0</v>
      </c>
      <c r="S243" s="307">
        <f t="shared" ca="1" si="108"/>
        <v>1.7842999999999964</v>
      </c>
      <c r="T243" s="304">
        <f t="shared" ca="1" si="88"/>
        <v>17.503982999999966</v>
      </c>
      <c r="U243" s="311">
        <f t="shared" ca="1" si="89"/>
        <v>0</v>
      </c>
      <c r="V243" s="306">
        <f t="shared" ca="1" si="90"/>
        <v>0.93116475016645861</v>
      </c>
      <c r="W243" s="304">
        <f t="shared" ca="1" si="91"/>
        <v>7.8514532174058891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2725.5361614724216</v>
      </c>
      <c r="AG243" s="306">
        <f t="shared" ca="1" si="114"/>
        <v>-14.043127192335115</v>
      </c>
      <c r="AH243" s="304">
        <f t="shared" ca="1" si="115"/>
        <v>-4.5611603352542485</v>
      </c>
    </row>
    <row r="244" spans="1:34" x14ac:dyDescent="0.2">
      <c r="A244" s="347">
        <f t="shared" ca="1" si="93"/>
        <v>0.1</v>
      </c>
      <c r="B244" s="304">
        <f t="shared" ca="1" si="94"/>
        <v>16.699999999999953</v>
      </c>
      <c r="D244" s="306">
        <f t="shared" ca="1" si="95"/>
        <v>-1.1418869459689858</v>
      </c>
      <c r="E244" s="307">
        <f t="shared" ca="1" si="96"/>
        <v>-14.059555749733216</v>
      </c>
      <c r="F244" s="304">
        <f t="shared" ca="1" si="97"/>
        <v>14.105850335135088</v>
      </c>
      <c r="G244" s="306">
        <f t="shared" ca="1" si="98"/>
        <v>20.452727757684471</v>
      </c>
      <c r="H244" s="307">
        <f t="shared" ca="1" si="99"/>
        <v>75.134246914081828</v>
      </c>
      <c r="I244" s="304">
        <f t="shared" ca="1" si="100"/>
        <v>77.868280654424183</v>
      </c>
      <c r="J244" s="306">
        <f t="shared" ca="1" si="101"/>
        <v>403.48662894346955</v>
      </c>
      <c r="K244" s="307">
        <f t="shared" ca="1" si="102"/>
        <v>2733.1198839425783</v>
      </c>
      <c r="L244" s="304">
        <f t="shared" ca="1" si="87"/>
        <v>2762.7424345636091</v>
      </c>
      <c r="M244" s="306">
        <f t="shared" ca="1" si="103"/>
        <v>1.3050204195213519</v>
      </c>
      <c r="N244" s="304">
        <f t="shared" ca="1" si="104"/>
        <v>74.772162216965569</v>
      </c>
      <c r="P244" s="310">
        <f t="shared" ca="1" si="105"/>
        <v>23</v>
      </c>
      <c r="Q244" s="304">
        <f t="shared" ca="1" si="106"/>
        <v>0</v>
      </c>
      <c r="R244" s="306">
        <f t="shared" ca="1" si="107"/>
        <v>0</v>
      </c>
      <c r="S244" s="307">
        <f t="shared" ca="1" si="108"/>
        <v>1.7842999999999964</v>
      </c>
      <c r="T244" s="304">
        <f t="shared" ca="1" si="88"/>
        <v>17.503982999999966</v>
      </c>
      <c r="U244" s="311">
        <f t="shared" ca="1" si="89"/>
        <v>0</v>
      </c>
      <c r="V244" s="306">
        <f t="shared" ca="1" si="90"/>
        <v>0.93044545799940559</v>
      </c>
      <c r="W244" s="304">
        <f t="shared" ca="1" si="91"/>
        <v>7.5731945955791886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2733.1198839425783</v>
      </c>
      <c r="AG244" s="306">
        <f t="shared" ca="1" si="114"/>
        <v>-13.874233095079353</v>
      </c>
      <c r="AH244" s="304">
        <f t="shared" ca="1" si="115"/>
        <v>-4.4002988384273412</v>
      </c>
    </row>
    <row r="245" spans="1:34" x14ac:dyDescent="0.2">
      <c r="A245" s="347">
        <f t="shared" ca="1" si="93"/>
        <v>0.1</v>
      </c>
      <c r="B245" s="304">
        <f t="shared" ca="1" si="94"/>
        <v>16.799999999999955</v>
      </c>
      <c r="D245" s="306">
        <f t="shared" ca="1" si="95"/>
        <v>-1.1148126623206027</v>
      </c>
      <c r="E245" s="307">
        <f t="shared" ca="1" si="96"/>
        <v>-13.905327079404884</v>
      </c>
      <c r="F245" s="304">
        <f t="shared" ca="1" si="97"/>
        <v>13.949943672190978</v>
      </c>
      <c r="G245" s="306">
        <f t="shared" ca="1" si="98"/>
        <v>20.341246491452409</v>
      </c>
      <c r="H245" s="307">
        <f t="shared" ca="1" si="99"/>
        <v>73.743714206141334</v>
      </c>
      <c r="I245" s="304">
        <f t="shared" ca="1" si="100"/>
        <v>76.49772345464325</v>
      </c>
      <c r="J245" s="306">
        <f t="shared" ca="1" si="101"/>
        <v>405.52632765592642</v>
      </c>
      <c r="K245" s="307">
        <f t="shared" ca="1" si="102"/>
        <v>2740.5637819985895</v>
      </c>
      <c r="L245" s="304">
        <f t="shared" ca="1" si="87"/>
        <v>2770.4045635293978</v>
      </c>
      <c r="M245" s="306">
        <f t="shared" ca="1" si="103"/>
        <v>1.3016521101795828</v>
      </c>
      <c r="N245" s="304">
        <f t="shared" ca="1" si="104"/>
        <v>74.579172307587712</v>
      </c>
      <c r="P245" s="310">
        <f t="shared" ca="1" si="105"/>
        <v>23</v>
      </c>
      <c r="Q245" s="304">
        <f t="shared" ca="1" si="106"/>
        <v>0</v>
      </c>
      <c r="R245" s="306">
        <f t="shared" ca="1" si="107"/>
        <v>0</v>
      </c>
      <c r="S245" s="307">
        <f t="shared" ca="1" si="108"/>
        <v>1.7842999999999964</v>
      </c>
      <c r="T245" s="304">
        <f t="shared" ca="1" si="88"/>
        <v>17.503982999999966</v>
      </c>
      <c r="U245" s="311">
        <f t="shared" ca="1" si="89"/>
        <v>0</v>
      </c>
      <c r="V245" s="306">
        <f t="shared" ca="1" si="90"/>
        <v>0.92973989430237258</v>
      </c>
      <c r="W245" s="304">
        <f t="shared" ca="1" si="91"/>
        <v>7.3034071681824946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2740.5637819985895</v>
      </c>
      <c r="AG245" s="306">
        <f t="shared" ca="1" si="114"/>
        <v>-13.709911521305465</v>
      </c>
      <c r="AH245" s="304">
        <f t="shared" ca="1" si="115"/>
        <v>-4.2443504991196566</v>
      </c>
    </row>
    <row r="246" spans="1:34" x14ac:dyDescent="0.2">
      <c r="A246" s="347">
        <f t="shared" ca="1" si="93"/>
        <v>0.1</v>
      </c>
      <c r="B246" s="304">
        <f t="shared" ca="1" si="94"/>
        <v>16.899999999999956</v>
      </c>
      <c r="D246" s="306">
        <f t="shared" ca="1" si="95"/>
        <v>-1.0883953798976418</v>
      </c>
      <c r="E246" s="307">
        <f t="shared" ca="1" si="96"/>
        <v>-13.755791516374543</v>
      </c>
      <c r="F246" s="304">
        <f t="shared" ca="1" si="97"/>
        <v>13.798782726927197</v>
      </c>
      <c r="G246" s="306">
        <f t="shared" ca="1" si="98"/>
        <v>20.232406953462647</v>
      </c>
      <c r="H246" s="307">
        <f t="shared" ca="1" si="99"/>
        <v>72.368135054503881</v>
      </c>
      <c r="I246" s="304">
        <f t="shared" ca="1" si="100"/>
        <v>75.143178415591635</v>
      </c>
      <c r="J246" s="306">
        <f t="shared" ca="1" si="101"/>
        <v>407.55501032817216</v>
      </c>
      <c r="K246" s="307">
        <f t="shared" ca="1" si="102"/>
        <v>2747.8693744616216</v>
      </c>
      <c r="L246" s="304">
        <f t="shared" ca="1" si="87"/>
        <v>2777.9285781941371</v>
      </c>
      <c r="M246" s="306">
        <f t="shared" ca="1" si="103"/>
        <v>1.2981806725217808</v>
      </c>
      <c r="N246" s="304">
        <f t="shared" ca="1" si="104"/>
        <v>74.380273580952888</v>
      </c>
      <c r="P246" s="310">
        <f t="shared" ca="1" si="105"/>
        <v>23</v>
      </c>
      <c r="Q246" s="304">
        <f t="shared" ca="1" si="106"/>
        <v>0</v>
      </c>
      <c r="R246" s="306">
        <f t="shared" ca="1" si="107"/>
        <v>0</v>
      </c>
      <c r="S246" s="307">
        <f t="shared" ca="1" si="108"/>
        <v>1.7842999999999964</v>
      </c>
      <c r="T246" s="304">
        <f t="shared" ca="1" si="88"/>
        <v>17.503982999999966</v>
      </c>
      <c r="U246" s="311">
        <f t="shared" ca="1" si="89"/>
        <v>0</v>
      </c>
      <c r="V246" s="306">
        <f t="shared" ca="1" si="90"/>
        <v>0.92904788876671196</v>
      </c>
      <c r="W246" s="304">
        <f t="shared" ca="1" si="91"/>
        <v>7.0418091060008221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2747.8693744616216</v>
      </c>
      <c r="AG246" s="306">
        <f t="shared" ca="1" si="114"/>
        <v>-13.549978092877843</v>
      </c>
      <c r="AH246" s="304">
        <f t="shared" ca="1" si="115"/>
        <v>-4.0931497888149462</v>
      </c>
    </row>
    <row r="247" spans="1:34" x14ac:dyDescent="0.2">
      <c r="A247" s="347">
        <f t="shared" ca="1" si="93"/>
        <v>0.1</v>
      </c>
      <c r="B247" s="304">
        <f t="shared" ca="1" si="94"/>
        <v>16.999999999999957</v>
      </c>
      <c r="D247" s="306">
        <f t="shared" ca="1" si="95"/>
        <v>-1.0626111364228821</v>
      </c>
      <c r="E247" s="307">
        <f t="shared" ca="1" si="96"/>
        <v>-13.610792778039205</v>
      </c>
      <c r="F247" s="304">
        <f t="shared" ca="1" si="97"/>
        <v>13.652209435617888</v>
      </c>
      <c r="G247" s="306">
        <f t="shared" ca="1" si="98"/>
        <v>20.12614583982036</v>
      </c>
      <c r="H247" s="307">
        <f t="shared" ca="1" si="99"/>
        <v>71.007055776699957</v>
      </c>
      <c r="I247" s="304">
        <f t="shared" ca="1" si="100"/>
        <v>73.804225600172089</v>
      </c>
      <c r="J247" s="306">
        <f t="shared" ca="1" si="101"/>
        <v>409.57293796783631</v>
      </c>
      <c r="K247" s="307">
        <f t="shared" ca="1" si="102"/>
        <v>2755.0381340031818</v>
      </c>
      <c r="L247" s="304">
        <f t="shared" ca="1" si="87"/>
        <v>2785.3159805177111</v>
      </c>
      <c r="M247" s="306">
        <f t="shared" ca="1" si="103"/>
        <v>1.2946017961403373</v>
      </c>
      <c r="N247" s="304">
        <f t="shared" ca="1" si="104"/>
        <v>74.175219068897121</v>
      </c>
      <c r="P247" s="310">
        <f t="shared" ca="1" si="105"/>
        <v>23</v>
      </c>
      <c r="Q247" s="304">
        <f t="shared" ca="1" si="106"/>
        <v>0</v>
      </c>
      <c r="R247" s="306">
        <f t="shared" ca="1" si="107"/>
        <v>0</v>
      </c>
      <c r="S247" s="307">
        <f t="shared" ca="1" si="108"/>
        <v>1.7842999999999964</v>
      </c>
      <c r="T247" s="304">
        <f t="shared" ca="1" si="88"/>
        <v>17.503982999999966</v>
      </c>
      <c r="U247" s="311">
        <f t="shared" ca="1" si="89"/>
        <v>0</v>
      </c>
      <c r="V247" s="306">
        <f t="shared" ca="1" si="90"/>
        <v>0.92836927635285271</v>
      </c>
      <c r="W247" s="304">
        <f t="shared" ca="1" si="91"/>
        <v>6.7881313905413094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>
        <f t="shared" ca="1" si="112"/>
        <v>16.999999999999957</v>
      </c>
      <c r="AD247" s="323">
        <f t="shared" ca="1" si="113"/>
        <v>409.57293796783631</v>
      </c>
      <c r="AE247" s="324">
        <f t="shared" ca="1" si="92"/>
        <v>2755.0381340031818</v>
      </c>
      <c r="AG247" s="306">
        <f t="shared" ca="1" si="114"/>
        <v>-13.394254703186178</v>
      </c>
      <c r="AH247" s="304">
        <f t="shared" ca="1" si="115"/>
        <v>-3.9465387580568492</v>
      </c>
    </row>
    <row r="248" spans="1:34" x14ac:dyDescent="0.2">
      <c r="A248" s="347">
        <f t="shared" ca="1" si="93"/>
        <v>0.1</v>
      </c>
      <c r="B248" s="304">
        <f t="shared" ca="1" si="94"/>
        <v>17.099999999999959</v>
      </c>
      <c r="D248" s="306">
        <f t="shared" ca="1" si="95"/>
        <v>-1.0374370456890831</v>
      </c>
      <c r="E248" s="307">
        <f t="shared" ca="1" si="96"/>
        <v>-13.470181673845859</v>
      </c>
      <c r="F248" s="304">
        <f t="shared" ca="1" si="97"/>
        <v>13.510072906915822</v>
      </c>
      <c r="G248" s="306">
        <f t="shared" ca="1" si="98"/>
        <v>20.022402135251451</v>
      </c>
      <c r="H248" s="307">
        <f t="shared" ca="1" si="99"/>
        <v>69.660037609315367</v>
      </c>
      <c r="I248" s="304">
        <f t="shared" ca="1" si="100"/>
        <v>72.480462381230382</v>
      </c>
      <c r="J248" s="306">
        <f t="shared" ca="1" si="101"/>
        <v>411.58036536658989</v>
      </c>
      <c r="K248" s="307">
        <f t="shared" ca="1" si="102"/>
        <v>2762.0714886724827</v>
      </c>
      <c r="L248" s="304">
        <f t="shared" ca="1" si="87"/>
        <v>2792.5682275806121</v>
      </c>
      <c r="M248" s="306">
        <f t="shared" ca="1" si="103"/>
        <v>1.290910928884061</v>
      </c>
      <c r="N248" s="304">
        <f t="shared" ca="1" si="104"/>
        <v>73.963747952369459</v>
      </c>
      <c r="P248" s="310">
        <f t="shared" ca="1" si="105"/>
        <v>23</v>
      </c>
      <c r="Q248" s="304">
        <f t="shared" ca="1" si="106"/>
        <v>0</v>
      </c>
      <c r="R248" s="306">
        <f t="shared" ca="1" si="107"/>
        <v>0</v>
      </c>
      <c r="S248" s="307">
        <f t="shared" ca="1" si="108"/>
        <v>1.7842999999999964</v>
      </c>
      <c r="T248" s="304">
        <f t="shared" ca="1" si="88"/>
        <v>17.503982999999966</v>
      </c>
      <c r="U248" s="311">
        <f t="shared" ca="1" si="89"/>
        <v>0</v>
      </c>
      <c r="V248" s="306">
        <f t="shared" ca="1" si="90"/>
        <v>0.92770389711168399</v>
      </c>
      <c r="W248" s="304">
        <f t="shared" ca="1" si="91"/>
        <v>6.5421171457451006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2762.0714886724827</v>
      </c>
      <c r="AG248" s="306">
        <f t="shared" ca="1" si="114"/>
        <v>-13.242569009706493</v>
      </c>
      <c r="AH248" s="304">
        <f t="shared" ca="1" si="115"/>
        <v>-3.804366637079708</v>
      </c>
    </row>
    <row r="249" spans="1:34" x14ac:dyDescent="0.2">
      <c r="A249" s="347">
        <f t="shared" ca="1" si="93"/>
        <v>0.1</v>
      </c>
      <c r="B249" s="304">
        <f t="shared" ca="1" si="94"/>
        <v>17.19999999999996</v>
      </c>
      <c r="D249" s="306">
        <f t="shared" ca="1" si="95"/>
        <v>-1.0128512430300392</v>
      </c>
      <c r="E249" s="307">
        <f t="shared" ca="1" si="96"/>
        <v>-13.333815734271701</v>
      </c>
      <c r="F249" s="304">
        <f t="shared" ca="1" si="97"/>
        <v>13.372229046648098</v>
      </c>
      <c r="G249" s="306">
        <f t="shared" ca="1" si="98"/>
        <v>19.921117010948446</v>
      </c>
      <c r="H249" s="307">
        <f t="shared" ca="1" si="99"/>
        <v>68.326656035888192</v>
      </c>
      <c r="I249" s="304">
        <f t="shared" ca="1" si="100"/>
        <v>71.171502920835366</v>
      </c>
      <c r="J249" s="306">
        <f t="shared" ca="1" si="101"/>
        <v>413.57754132389988</v>
      </c>
      <c r="K249" s="307">
        <f t="shared" ca="1" si="102"/>
        <v>2768.9708233547431</v>
      </c>
      <c r="L249" s="304">
        <f t="shared" ca="1" si="87"/>
        <v>2799.6867330609271</v>
      </c>
      <c r="M249" s="306">
        <f t="shared" ca="1" si="103"/>
        <v>1.287103260268756</v>
      </c>
      <c r="N249" s="304">
        <f t="shared" ca="1" si="104"/>
        <v>73.745584610928049</v>
      </c>
      <c r="P249" s="310">
        <f t="shared" ca="1" si="105"/>
        <v>23</v>
      </c>
      <c r="Q249" s="304">
        <f t="shared" ca="1" si="106"/>
        <v>0</v>
      </c>
      <c r="R249" s="306">
        <f t="shared" ca="1" si="107"/>
        <v>0</v>
      </c>
      <c r="S249" s="307">
        <f t="shared" ca="1" si="108"/>
        <v>1.7842999999999964</v>
      </c>
      <c r="T249" s="304">
        <f t="shared" ca="1" si="88"/>
        <v>17.503982999999966</v>
      </c>
      <c r="U249" s="311">
        <f t="shared" ca="1" si="89"/>
        <v>0</v>
      </c>
      <c r="V249" s="306">
        <f t="shared" ca="1" si="90"/>
        <v>0.92705159601414178</v>
      </c>
      <c r="W249" s="304">
        <f t="shared" ca="1" si="91"/>
        <v>6.3035210108994502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2768.9708233547431</v>
      </c>
      <c r="AG249" s="306">
        <f t="shared" ca="1" si="114"/>
        <v>-13.094753941056092</v>
      </c>
      <c r="AH249" s="304">
        <f t="shared" ca="1" si="115"/>
        <v>-3.6664894612705901</v>
      </c>
    </row>
    <row r="250" spans="1:34" x14ac:dyDescent="0.2">
      <c r="A250" s="347">
        <f t="shared" ca="1" si="93"/>
        <v>0.1</v>
      </c>
      <c r="B250" s="304">
        <f t="shared" ca="1" si="94"/>
        <v>17.299999999999962</v>
      </c>
      <c r="D250" s="306">
        <f t="shared" ca="1" si="95"/>
        <v>-0.98883283436620018</v>
      </c>
      <c r="E250" s="307">
        <f t="shared" ca="1" si="96"/>
        <v>-13.201558862567769</v>
      </c>
      <c r="F250" s="304">
        <f t="shared" ca="1" si="97"/>
        <v>13.238540205633033</v>
      </c>
      <c r="G250" s="306">
        <f t="shared" ca="1" si="98"/>
        <v>19.822233727511826</v>
      </c>
      <c r="H250" s="307">
        <f t="shared" ca="1" si="99"/>
        <v>67.006500149631421</v>
      </c>
      <c r="I250" s="304">
        <f t="shared" ca="1" si="100"/>
        <v>69.876977698313937</v>
      </c>
      <c r="J250" s="306">
        <f t="shared" ca="1" si="101"/>
        <v>415.56470886082292</v>
      </c>
      <c r="K250" s="307">
        <f t="shared" ca="1" si="102"/>
        <v>2775.7374811640188</v>
      </c>
      <c r="L250" s="304">
        <f t="shared" ca="1" si="87"/>
        <v>2806.6728686452493</v>
      </c>
      <c r="M250" s="306">
        <f t="shared" ca="1" si="103"/>
        <v>1.2831737035484942</v>
      </c>
      <c r="N250" s="304">
        <f t="shared" ca="1" si="104"/>
        <v>73.520437595499786</v>
      </c>
      <c r="P250" s="310">
        <f t="shared" ca="1" si="105"/>
        <v>23</v>
      </c>
      <c r="Q250" s="304">
        <f t="shared" ca="1" si="106"/>
        <v>0</v>
      </c>
      <c r="R250" s="306">
        <f t="shared" ca="1" si="107"/>
        <v>0</v>
      </c>
      <c r="S250" s="307">
        <f t="shared" ca="1" si="108"/>
        <v>1.7842999999999964</v>
      </c>
      <c r="T250" s="304">
        <f t="shared" ca="1" si="88"/>
        <v>17.503982999999966</v>
      </c>
      <c r="U250" s="311">
        <f t="shared" ca="1" si="89"/>
        <v>0</v>
      </c>
      <c r="V250" s="306">
        <f t="shared" ca="1" si="90"/>
        <v>0.92641222278856894</v>
      </c>
      <c r="W250" s="304">
        <f t="shared" ca="1" si="91"/>
        <v>6.0721085518880313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2775.7374811640188</v>
      </c>
      <c r="AG250" s="306">
        <f t="shared" ca="1" si="114"/>
        <v>-12.950647215685603</v>
      </c>
      <c r="AH250" s="304">
        <f t="shared" ca="1" si="115"/>
        <v>-3.5327697197217187</v>
      </c>
    </row>
    <row r="251" spans="1:34" x14ac:dyDescent="0.2">
      <c r="A251" s="347">
        <f t="shared" ca="1" si="93"/>
        <v>0.1</v>
      </c>
      <c r="B251" s="304">
        <f t="shared" ca="1" si="94"/>
        <v>17.399999999999963</v>
      </c>
      <c r="D251" s="306">
        <f t="shared" ca="1" si="95"/>
        <v>-0.96536184859935681</v>
      </c>
      <c r="E251" s="307">
        <f t="shared" ca="1" si="96"/>
        <v>-13.073281007671827</v>
      </c>
      <c r="F251" s="304">
        <f t="shared" ca="1" si="97"/>
        <v>13.108874848906144</v>
      </c>
      <c r="G251" s="306">
        <f t="shared" ca="1" si="98"/>
        <v>19.72569754265189</v>
      </c>
      <c r="H251" s="307">
        <f t="shared" ca="1" si="99"/>
        <v>65.699172048864241</v>
      </c>
      <c r="I251" s="304">
        <f t="shared" ca="1" si="100"/>
        <v>68.59653308623146</v>
      </c>
      <c r="J251" s="306">
        <f t="shared" ca="1" si="101"/>
        <v>417.54210542433111</v>
      </c>
      <c r="K251" s="307">
        <f t="shared" ca="1" si="102"/>
        <v>2782.3727647739438</v>
      </c>
      <c r="L251" s="304">
        <f t="shared" ca="1" si="87"/>
        <v>2813.5279653769185</v>
      </c>
      <c r="M251" s="306">
        <f t="shared" ca="1" si="103"/>
        <v>1.2791168763253546</v>
      </c>
      <c r="N251" s="304">
        <f t="shared" ca="1" si="104"/>
        <v>73.287998517400112</v>
      </c>
      <c r="P251" s="310">
        <f t="shared" ca="1" si="105"/>
        <v>23</v>
      </c>
      <c r="Q251" s="304">
        <f t="shared" ca="1" si="106"/>
        <v>0</v>
      </c>
      <c r="R251" s="306">
        <f t="shared" ca="1" si="107"/>
        <v>0</v>
      </c>
      <c r="S251" s="307">
        <f t="shared" ca="1" si="108"/>
        <v>1.7842999999999964</v>
      </c>
      <c r="T251" s="304">
        <f t="shared" ca="1" si="88"/>
        <v>17.503982999999966</v>
      </c>
      <c r="U251" s="311">
        <f t="shared" ca="1" si="89"/>
        <v>0</v>
      </c>
      <c r="V251" s="306">
        <f t="shared" ca="1" si="90"/>
        <v>0.9257856317654366</v>
      </c>
      <c r="W251" s="304">
        <f t="shared" ca="1" si="91"/>
        <v>5.8476557081402651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2782.3727647739438</v>
      </c>
      <c r="AG251" s="306">
        <f t="shared" ca="1" si="114"/>
        <v>-12.810090869355014</v>
      </c>
      <c r="AH251" s="304">
        <f t="shared" ca="1" si="115"/>
        <v>-3.4030760252693177</v>
      </c>
    </row>
    <row r="252" spans="1:34" x14ac:dyDescent="0.2">
      <c r="A252" s="347">
        <f t="shared" ca="1" si="93"/>
        <v>0.1</v>
      </c>
      <c r="B252" s="304">
        <f t="shared" ca="1" si="94"/>
        <v>17.499999999999964</v>
      </c>
      <c r="D252" s="306">
        <f t="shared" ca="1" si="95"/>
        <v>-0.94241919315104283</v>
      </c>
      <c r="E252" s="307">
        <f t="shared" ca="1" si="96"/>
        <v>-12.948857856818698</v>
      </c>
      <c r="F252" s="304">
        <f t="shared" ca="1" si="97"/>
        <v>12.983107244866877</v>
      </c>
      <c r="G252" s="306">
        <f t="shared" ca="1" si="98"/>
        <v>19.631455623336784</v>
      </c>
      <c r="H252" s="307">
        <f t="shared" ca="1" si="99"/>
        <v>64.404286263182371</v>
      </c>
      <c r="I252" s="304">
        <f t="shared" ca="1" si="100"/>
        <v>67.329830973803752</v>
      </c>
      <c r="J252" s="306">
        <f t="shared" ca="1" si="101"/>
        <v>419.50996308263052</v>
      </c>
      <c r="K252" s="307">
        <f t="shared" ca="1" si="102"/>
        <v>2788.8779376895463</v>
      </c>
      <c r="L252" s="304">
        <f t="shared" ca="1" si="87"/>
        <v>2820.2533149447918</v>
      </c>
      <c r="M252" s="306">
        <f t="shared" ca="1" si="103"/>
        <v>1.2749270795632526</v>
      </c>
      <c r="N252" s="304">
        <f t="shared" ca="1" si="104"/>
        <v>73.047940845914084</v>
      </c>
      <c r="P252" s="310">
        <f t="shared" ca="1" si="105"/>
        <v>23</v>
      </c>
      <c r="Q252" s="304">
        <f t="shared" ca="1" si="106"/>
        <v>0</v>
      </c>
      <c r="R252" s="306">
        <f t="shared" ca="1" si="107"/>
        <v>0</v>
      </c>
      <c r="S252" s="307">
        <f t="shared" ca="1" si="108"/>
        <v>1.7842999999999964</v>
      </c>
      <c r="T252" s="304">
        <f t="shared" ca="1" si="88"/>
        <v>17.503982999999966</v>
      </c>
      <c r="U252" s="311">
        <f t="shared" ca="1" si="89"/>
        <v>0</v>
      </c>
      <c r="V252" s="306">
        <f t="shared" ca="1" si="90"/>
        <v>0.92517168172905107</v>
      </c>
      <c r="W252" s="304">
        <f t="shared" ca="1" si="91"/>
        <v>5.6299482728442847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2788.8779376895463</v>
      </c>
      <c r="AG252" s="306">
        <f t="shared" ca="1" si="114"/>
        <v>-12.672930788515234</v>
      </c>
      <c r="AH252" s="304">
        <f t="shared" ca="1" si="115"/>
        <v>-3.2772828045397504</v>
      </c>
    </row>
    <row r="253" spans="1:34" x14ac:dyDescent="0.2">
      <c r="A253" s="347">
        <f t="shared" ca="1" si="93"/>
        <v>0.1</v>
      </c>
      <c r="B253" s="304">
        <f t="shared" ca="1" si="94"/>
        <v>17.599999999999966</v>
      </c>
      <c r="D253" s="306">
        <f t="shared" ca="1" si="95"/>
        <v>-0.91998661245801872</v>
      </c>
      <c r="E253" s="307">
        <f t="shared" ca="1" si="96"/>
        <v>-12.828170546488018</v>
      </c>
      <c r="F253" s="304">
        <f t="shared" ca="1" si="97"/>
        <v>12.861117172970809</v>
      </c>
      <c r="G253" s="306">
        <f t="shared" ca="1" si="98"/>
        <v>19.539456962090981</v>
      </c>
      <c r="H253" s="307">
        <f t="shared" ca="1" si="99"/>
        <v>63.121469208533568</v>
      </c>
      <c r="I253" s="304">
        <f t="shared" ca="1" si="100"/>
        <v>66.076548437530064</v>
      </c>
      <c r="J253" s="306">
        <f t="shared" ca="1" si="101"/>
        <v>421.4685087119019</v>
      </c>
      <c r="K253" s="307">
        <f t="shared" ca="1" si="102"/>
        <v>2795.2542254631321</v>
      </c>
      <c r="L253" s="304">
        <f t="shared" ca="1" si="87"/>
        <v>2826.8501709155598</v>
      </c>
      <c r="M253" s="306">
        <f t="shared" ca="1" si="103"/>
        <v>1.2705982748580649</v>
      </c>
      <c r="N253" s="304">
        <f t="shared" ca="1" si="104"/>
        <v>72.799918605970461</v>
      </c>
      <c r="P253" s="310">
        <f t="shared" ca="1" si="105"/>
        <v>23</v>
      </c>
      <c r="Q253" s="304">
        <f t="shared" ca="1" si="106"/>
        <v>0</v>
      </c>
      <c r="R253" s="306">
        <f t="shared" ca="1" si="107"/>
        <v>0</v>
      </c>
      <c r="S253" s="307">
        <f t="shared" ca="1" si="108"/>
        <v>1.7842999999999964</v>
      </c>
      <c r="T253" s="304">
        <f t="shared" ca="1" si="88"/>
        <v>17.503982999999966</v>
      </c>
      <c r="U253" s="311">
        <f t="shared" ca="1" si="89"/>
        <v>0</v>
      </c>
      <c r="V253" s="306">
        <f t="shared" ca="1" si="90"/>
        <v>0.92457023577588393</v>
      </c>
      <c r="W253" s="304">
        <f t="shared" ca="1" si="91"/>
        <v>5.4187814041745215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2795.2542254631321</v>
      </c>
      <c r="AG253" s="306">
        <f t="shared" ca="1" si="114"/>
        <v>-12.539016246661124</v>
      </c>
      <c r="AH253" s="304">
        <f t="shared" ca="1" si="115"/>
        <v>-3.1552700066380632</v>
      </c>
    </row>
    <row r="254" spans="1:34" x14ac:dyDescent="0.2">
      <c r="A254" s="347">
        <f t="shared" ca="1" si="93"/>
        <v>0.1</v>
      </c>
      <c r="B254" s="304">
        <f t="shared" ca="1" si="94"/>
        <v>17.699999999999967</v>
      </c>
      <c r="D254" s="306">
        <f t="shared" ca="1" si="95"/>
        <v>-0.89804664925570332</v>
      </c>
      <c r="E254" s="307">
        <f t="shared" ca="1" si="96"/>
        <v>-12.711105390431202</v>
      </c>
      <c r="F254" s="304">
        <f t="shared" ca="1" si="97"/>
        <v>12.742789648695004</v>
      </c>
      <c r="G254" s="306">
        <f t="shared" ca="1" si="98"/>
        <v>19.449652297165411</v>
      </c>
      <c r="H254" s="307">
        <f t="shared" ca="1" si="99"/>
        <v>61.850358669490447</v>
      </c>
      <c r="I254" s="304">
        <f t="shared" ca="1" si="100"/>
        <v>64.836377459148991</v>
      </c>
      <c r="J254" s="306">
        <f t="shared" ca="1" si="101"/>
        <v>423.41796417486472</v>
      </c>
      <c r="K254" s="307">
        <f t="shared" ca="1" si="102"/>
        <v>2801.5028168570334</v>
      </c>
      <c r="L254" s="304">
        <f t="shared" ca="1" si="87"/>
        <v>2833.3197499124381</v>
      </c>
      <c r="M254" s="306">
        <f t="shared" ca="1" si="103"/>
        <v>1.2661240598014734</v>
      </c>
      <c r="N254" s="304">
        <f t="shared" ca="1" si="104"/>
        <v>72.543564966593877</v>
      </c>
      <c r="P254" s="310">
        <f t="shared" ca="1" si="105"/>
        <v>23</v>
      </c>
      <c r="Q254" s="304">
        <f t="shared" ca="1" si="106"/>
        <v>0</v>
      </c>
      <c r="R254" s="306">
        <f t="shared" ca="1" si="107"/>
        <v>0</v>
      </c>
      <c r="S254" s="307">
        <f t="shared" ca="1" si="108"/>
        <v>1.7842999999999964</v>
      </c>
      <c r="T254" s="304">
        <f t="shared" ca="1" si="88"/>
        <v>17.503982999999966</v>
      </c>
      <c r="U254" s="311">
        <f t="shared" ca="1" si="89"/>
        <v>0</v>
      </c>
      <c r="V254" s="306">
        <f t="shared" ca="1" si="90"/>
        <v>0.92398116117918982</v>
      </c>
      <c r="W254" s="304">
        <f t="shared" ca="1" si="91"/>
        <v>5.2139591654555639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2801.5028168570334</v>
      </c>
      <c r="AG254" s="306">
        <f t="shared" ca="1" si="114"/>
        <v>-12.408199440634364</v>
      </c>
      <c r="AH254" s="304">
        <f t="shared" ca="1" si="115"/>
        <v>-3.0369228292184789</v>
      </c>
    </row>
    <row r="255" spans="1:34" x14ac:dyDescent="0.2">
      <c r="A255" s="347">
        <f t="shared" ca="1" si="93"/>
        <v>0.1</v>
      </c>
      <c r="B255" s="304">
        <f t="shared" ca="1" si="94"/>
        <v>17.799999999999969</v>
      </c>
      <c r="D255" s="306">
        <f t="shared" ca="1" si="95"/>
        <v>-0.87658260849680814</v>
      </c>
      <c r="E255" s="307">
        <f t="shared" ca="1" si="96"/>
        <v>-12.597553623612423</v>
      </c>
      <c r="F255" s="304">
        <f t="shared" ca="1" si="97"/>
        <v>12.628014664598295</v>
      </c>
      <c r="G255" s="306">
        <f t="shared" ca="1" si="98"/>
        <v>19.361994036315728</v>
      </c>
      <c r="H255" s="307">
        <f t="shared" ca="1" si="99"/>
        <v>60.590603307129207</v>
      </c>
      <c r="I255" s="304">
        <f t="shared" ca="1" si="100"/>
        <v>63.609024691345667</v>
      </c>
      <c r="J255" s="306">
        <f t="shared" ca="1" si="101"/>
        <v>425.35854649153879</v>
      </c>
      <c r="K255" s="307">
        <f t="shared" ca="1" si="102"/>
        <v>2807.6248649558643</v>
      </c>
      <c r="L255" s="304">
        <f t="shared" ca="1" si="87"/>
        <v>2839.6632327428952</v>
      </c>
      <c r="M255" s="306">
        <f t="shared" ca="1" si="103"/>
        <v>1.2614976412596488</v>
      </c>
      <c r="N255" s="304">
        <f t="shared" ca="1" si="104"/>
        <v>72.278490709886256</v>
      </c>
      <c r="P255" s="310">
        <f t="shared" ca="1" si="105"/>
        <v>23</v>
      </c>
      <c r="Q255" s="304">
        <f t="shared" ca="1" si="106"/>
        <v>0</v>
      </c>
      <c r="R255" s="306">
        <f t="shared" ca="1" si="107"/>
        <v>0</v>
      </c>
      <c r="S255" s="307">
        <f t="shared" ca="1" si="108"/>
        <v>1.7842999999999964</v>
      </c>
      <c r="T255" s="304">
        <f t="shared" ca="1" si="88"/>
        <v>17.503982999999966</v>
      </c>
      <c r="U255" s="311">
        <f t="shared" ca="1" si="89"/>
        <v>0</v>
      </c>
      <c r="V255" s="306">
        <f t="shared" ca="1" si="90"/>
        <v>0.92340432925959659</v>
      </c>
      <c r="W255" s="304">
        <f t="shared" ca="1" si="91"/>
        <v>5.0152940923403193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2807.6248649558643</v>
      </c>
      <c r="AG255" s="306">
        <f t="shared" ca="1" si="114"/>
        <v>-12.280335023733192</v>
      </c>
      <c r="AH255" s="304">
        <f t="shared" ca="1" si="115"/>
        <v>-2.9221314607720532</v>
      </c>
    </row>
    <row r="256" spans="1:34" x14ac:dyDescent="0.2">
      <c r="A256" s="347">
        <f t="shared" ca="1" si="93"/>
        <v>0.1</v>
      </c>
      <c r="B256" s="304">
        <f t="shared" ca="1" si="94"/>
        <v>17.89999999999997</v>
      </c>
      <c r="D256" s="306">
        <f t="shared" ca="1" si="95"/>
        <v>-0.85557852376792021</v>
      </c>
      <c r="E256" s="307">
        <f t="shared" ca="1" si="96"/>
        <v>-12.487411160983168</v>
      </c>
      <c r="F256" s="304">
        <f t="shared" ca="1" si="97"/>
        <v>12.516686946384011</v>
      </c>
      <c r="G256" s="306">
        <f t="shared" ca="1" si="98"/>
        <v>19.276436183938937</v>
      </c>
      <c r="H256" s="307">
        <f t="shared" ca="1" si="99"/>
        <v>59.341862191030891</v>
      </c>
      <c r="I256" s="304">
        <f t="shared" ca="1" si="100"/>
        <v>62.394211271982371</v>
      </c>
      <c r="J256" s="306">
        <f t="shared" ca="1" si="101"/>
        <v>427.29046800255151</v>
      </c>
      <c r="K256" s="307">
        <f t="shared" ca="1" si="102"/>
        <v>2813.6214882307722</v>
      </c>
      <c r="L256" s="304">
        <f t="shared" ca="1" si="87"/>
        <v>2845.8817654779309</v>
      </c>
      <c r="M256" s="306">
        <f t="shared" ca="1" si="103"/>
        <v>1.2567118063699609</v>
      </c>
      <c r="N256" s="304">
        <f t="shared" ca="1" si="104"/>
        <v>72.004282569260681</v>
      </c>
      <c r="P256" s="310">
        <f t="shared" ca="1" si="105"/>
        <v>23</v>
      </c>
      <c r="Q256" s="304">
        <f t="shared" ca="1" si="106"/>
        <v>0</v>
      </c>
      <c r="R256" s="306">
        <f t="shared" ca="1" si="107"/>
        <v>0</v>
      </c>
      <c r="S256" s="307">
        <f t="shared" ca="1" si="108"/>
        <v>1.7842999999999964</v>
      </c>
      <c r="T256" s="304">
        <f t="shared" ca="1" si="88"/>
        <v>17.503982999999966</v>
      </c>
      <c r="U256" s="311">
        <f t="shared" ca="1" si="89"/>
        <v>0</v>
      </c>
      <c r="V256" s="306">
        <f t="shared" ca="1" si="90"/>
        <v>0.92283961526136549</v>
      </c>
      <c r="W256" s="304">
        <f t="shared" ca="1" si="91"/>
        <v>4.8226067852238694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2813.6214882307722</v>
      </c>
      <c r="AG256" s="306">
        <f t="shared" ca="1" si="114"/>
        <v>-12.155279632327693</v>
      </c>
      <c r="AH256" s="304">
        <f t="shared" ca="1" si="115"/>
        <v>-2.8107908380543236</v>
      </c>
    </row>
    <row r="257" spans="1:34" x14ac:dyDescent="0.2">
      <c r="A257" s="347">
        <f t="shared" ca="1" si="93"/>
        <v>0.1</v>
      </c>
      <c r="B257" s="304">
        <f t="shared" ca="1" si="94"/>
        <v>17.999999999999972</v>
      </c>
      <c r="D257" s="306">
        <f t="shared" ca="1" si="95"/>
        <v>-0.83501912608145512</v>
      </c>
      <c r="E257" s="307">
        <f t="shared" ca="1" si="96"/>
        <v>-12.380578370087257</v>
      </c>
      <c r="F257" s="304">
        <f t="shared" ca="1" si="97"/>
        <v>12.408705722950893</v>
      </c>
      <c r="G257" s="306">
        <f t="shared" ca="1" si="98"/>
        <v>19.192934271330792</v>
      </c>
      <c r="H257" s="307">
        <f t="shared" ca="1" si="99"/>
        <v>58.103804354022166</v>
      </c>
      <c r="I257" s="304">
        <f t="shared" ca="1" si="100"/>
        <v>61.191672687990071</v>
      </c>
      <c r="J257" s="306">
        <f t="shared" ca="1" si="101"/>
        <v>429.21393652531498</v>
      </c>
      <c r="K257" s="307">
        <f t="shared" ca="1" si="102"/>
        <v>2819.4937715580249</v>
      </c>
      <c r="L257" s="304">
        <f t="shared" ca="1" si="87"/>
        <v>2851.9764604852639</v>
      </c>
      <c r="M257" s="306">
        <f t="shared" ca="1" si="103"/>
        <v>1.2517588910391684</v>
      </c>
      <c r="N257" s="304">
        <f t="shared" ca="1" si="104"/>
        <v>71.720501424520634</v>
      </c>
      <c r="P257" s="310">
        <f t="shared" ca="1" si="105"/>
        <v>23</v>
      </c>
      <c r="Q257" s="304">
        <f t="shared" ca="1" si="106"/>
        <v>0</v>
      </c>
      <c r="R257" s="306">
        <f t="shared" ca="1" si="107"/>
        <v>0</v>
      </c>
      <c r="S257" s="307">
        <f t="shared" ca="1" si="108"/>
        <v>1.7842999999999964</v>
      </c>
      <c r="T257" s="304">
        <f t="shared" ca="1" si="88"/>
        <v>17.503982999999966</v>
      </c>
      <c r="U257" s="311">
        <f t="shared" ca="1" si="89"/>
        <v>0</v>
      </c>
      <c r="V257" s="306">
        <f t="shared" ca="1" si="90"/>
        <v>0.92228689823404786</v>
      </c>
      <c r="W257" s="304">
        <f t="shared" ca="1" si="91"/>
        <v>4.6357255252460599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>
        <f t="shared" ca="1" si="112"/>
        <v>17.999999999999972</v>
      </c>
      <c r="AD257" s="323">
        <f t="shared" ca="1" si="113"/>
        <v>429.21393652531498</v>
      </c>
      <c r="AE257" s="324">
        <f t="shared" ca="1" si="92"/>
        <v>2819.4937715580249</v>
      </c>
      <c r="AG257" s="306">
        <f t="shared" ca="1" si="114"/>
        <v>-12.032891402481543</v>
      </c>
      <c r="AH257" s="304">
        <f t="shared" ca="1" si="115"/>
        <v>-2.7028004176561558</v>
      </c>
    </row>
    <row r="258" spans="1:34" x14ac:dyDescent="0.2">
      <c r="A258" s="347">
        <f t="shared" ca="1" si="93"/>
        <v>0.1</v>
      </c>
      <c r="B258" s="304">
        <f t="shared" ca="1" si="94"/>
        <v>18.099999999999973</v>
      </c>
      <c r="D258" s="306">
        <f t="shared" ca="1" si="95"/>
        <v>-0.81488981493447099</v>
      </c>
      <c r="E258" s="307">
        <f t="shared" ca="1" si="96"/>
        <v>-12.276959856563654</v>
      </c>
      <c r="F258" s="304">
        <f t="shared" ca="1" si="97"/>
        <v>12.303974509489175</v>
      </c>
      <c r="G258" s="306">
        <f t="shared" ca="1" si="98"/>
        <v>19.111445289837345</v>
      </c>
      <c r="H258" s="307">
        <f t="shared" ca="1" si="99"/>
        <v>56.876108368365799</v>
      </c>
      <c r="I258" s="304">
        <f t="shared" ca="1" si="100"/>
        <v>60.00115869044977</v>
      </c>
      <c r="J258" s="306">
        <f t="shared" ca="1" si="101"/>
        <v>431.1291555033734</v>
      </c>
      <c r="K258" s="307">
        <f t="shared" ca="1" si="102"/>
        <v>2825.2427671941446</v>
      </c>
      <c r="L258" s="304">
        <f t="shared" ca="1" si="87"/>
        <v>2857.9483974186587</v>
      </c>
      <c r="M258" s="306">
        <f t="shared" ca="1" si="103"/>
        <v>1.2466307457048849</v>
      </c>
      <c r="N258" s="304">
        <f t="shared" ca="1" si="104"/>
        <v>71.426680340136485</v>
      </c>
      <c r="P258" s="310">
        <f t="shared" ca="1" si="105"/>
        <v>23</v>
      </c>
      <c r="Q258" s="304">
        <f t="shared" ca="1" si="106"/>
        <v>0</v>
      </c>
      <c r="R258" s="306">
        <f t="shared" ca="1" si="107"/>
        <v>0</v>
      </c>
      <c r="S258" s="307">
        <f t="shared" ca="1" si="108"/>
        <v>1.7842999999999964</v>
      </c>
      <c r="T258" s="304">
        <f t="shared" ca="1" si="88"/>
        <v>17.503982999999966</v>
      </c>
      <c r="U258" s="311">
        <f t="shared" ca="1" si="89"/>
        <v>0</v>
      </c>
      <c r="V258" s="306">
        <f t="shared" ca="1" si="90"/>
        <v>0.92174606091926625</v>
      </c>
      <c r="W258" s="304">
        <f t="shared" ca="1" si="91"/>
        <v>4.4544859123565868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2825.2427671941446</v>
      </c>
      <c r="AG258" s="306">
        <f t="shared" ca="1" si="114"/>
        <v>-11.913029472839487</v>
      </c>
      <c r="AH258" s="304">
        <f t="shared" ca="1" si="115"/>
        <v>-2.598063960794748</v>
      </c>
    </row>
    <row r="259" spans="1:34" x14ac:dyDescent="0.2">
      <c r="A259" s="347">
        <f t="shared" ca="1" si="93"/>
        <v>0.1</v>
      </c>
      <c r="B259" s="304">
        <f t="shared" ca="1" si="94"/>
        <v>18.199999999999974</v>
      </c>
      <c r="D259" s="306">
        <f t="shared" ca="1" si="95"/>
        <v>-0.79517663153933749</v>
      </c>
      <c r="E259" s="307">
        <f t="shared" ca="1" si="96"/>
        <v>-12.176464261678472</v>
      </c>
      <c r="F259" s="304">
        <f t="shared" ca="1" si="97"/>
        <v>12.20240090274366</v>
      </c>
      <c r="G259" s="306">
        <f t="shared" ca="1" si="98"/>
        <v>19.031927626683412</v>
      </c>
      <c r="H259" s="307">
        <f t="shared" ca="1" si="99"/>
        <v>55.658461942197953</v>
      </c>
      <c r="I259" s="304">
        <f t="shared" ca="1" si="100"/>
        <v>58.82243326281575</v>
      </c>
      <c r="J259" s="306">
        <f t="shared" ca="1" si="101"/>
        <v>433.03632414919946</v>
      </c>
      <c r="K259" s="307">
        <f t="shared" ca="1" si="102"/>
        <v>2830.8694957096727</v>
      </c>
      <c r="L259" s="304">
        <f t="shared" ca="1" si="87"/>
        <v>2863.7986241654962</v>
      </c>
      <c r="M259" s="306">
        <f t="shared" ca="1" si="103"/>
        <v>1.2413186980983799</v>
      </c>
      <c r="N259" s="304">
        <f t="shared" ca="1" si="104"/>
        <v>71.122322431711183</v>
      </c>
      <c r="P259" s="310">
        <f t="shared" ca="1" si="105"/>
        <v>23</v>
      </c>
      <c r="Q259" s="304">
        <f t="shared" ca="1" si="106"/>
        <v>0</v>
      </c>
      <c r="R259" s="306">
        <f t="shared" ca="1" si="107"/>
        <v>0</v>
      </c>
      <c r="S259" s="307">
        <f t="shared" ca="1" si="108"/>
        <v>1.7842999999999964</v>
      </c>
      <c r="T259" s="304">
        <f t="shared" ca="1" si="88"/>
        <v>17.503982999999966</v>
      </c>
      <c r="U259" s="311">
        <f t="shared" ca="1" si="89"/>
        <v>0</v>
      </c>
      <c r="V259" s="306">
        <f t="shared" ca="1" si="90"/>
        <v>0.92121698964237753</v>
      </c>
      <c r="W259" s="304">
        <f t="shared" ca="1" si="91"/>
        <v>4.2787305240274867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2830.8694957096727</v>
      </c>
      <c r="AG259" s="306">
        <f t="shared" ca="1" si="114"/>
        <v>-11.7955534697504</v>
      </c>
      <c r="AH259" s="304">
        <f t="shared" ca="1" si="115"/>
        <v>-2.4964893304694251</v>
      </c>
    </row>
    <row r="260" spans="1:34" x14ac:dyDescent="0.2">
      <c r="A260" s="347">
        <f t="shared" ca="1" si="93"/>
        <v>0.1</v>
      </c>
      <c r="B260" s="304">
        <f t="shared" ca="1" si="94"/>
        <v>18.299999999999976</v>
      </c>
      <c r="D260" s="306">
        <f t="shared" ca="1" si="95"/>
        <v>-0.77586623414443845</v>
      </c>
      <c r="E260" s="307">
        <f t="shared" ca="1" si="96"/>
        <v>-12.079004071075802</v>
      </c>
      <c r="F260" s="304">
        <f t="shared" ca="1" si="97"/>
        <v>12.103896387624577</v>
      </c>
      <c r="G260" s="306">
        <f t="shared" ca="1" si="98"/>
        <v>18.954341003268969</v>
      </c>
      <c r="H260" s="307">
        <f t="shared" ca="1" si="99"/>
        <v>54.450561535090372</v>
      </c>
      <c r="I260" s="304">
        <f t="shared" ca="1" si="100"/>
        <v>57.655274644692014</v>
      </c>
      <c r="J260" s="306">
        <f t="shared" ca="1" si="101"/>
        <v>434.93563758069706</v>
      </c>
      <c r="K260" s="307">
        <f t="shared" ca="1" si="102"/>
        <v>2836.3749468835372</v>
      </c>
      <c r="L260" s="304">
        <f t="shared" ref="L260:L323" ca="1" si="116">SQRT(pos_x^2+pos_z^2)</f>
        <v>2869.5281577545666</v>
      </c>
      <c r="M260" s="306">
        <f t="shared" ca="1" si="103"/>
        <v>1.2358135127208287</v>
      </c>
      <c r="N260" s="304">
        <f t="shared" ca="1" si="104"/>
        <v>70.806898544140353</v>
      </c>
      <c r="P260" s="310">
        <f t="shared" ca="1" si="105"/>
        <v>23</v>
      </c>
      <c r="Q260" s="304">
        <f t="shared" ca="1" si="106"/>
        <v>0</v>
      </c>
      <c r="R260" s="306">
        <f t="shared" ca="1" si="107"/>
        <v>0</v>
      </c>
      <c r="S260" s="307">
        <f t="shared" ca="1" si="108"/>
        <v>1.7842999999999964</v>
      </c>
      <c r="T260" s="304">
        <f t="shared" ref="T260:T323" ca="1" si="117">m*g</f>
        <v>17.503982999999966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0.92069957420877757</v>
      </c>
      <c r="W260" s="304">
        <f t="shared" ref="W260:W323" ca="1" si="120">1/2*Rho*Sref*Cx*vit_xz^2</f>
        <v>4.1083085932999177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2836.3749468835372</v>
      </c>
      <c r="AG260" s="306">
        <f t="shared" ca="1" si="114"/>
        <v>-11.680322970253172</v>
      </c>
      <c r="AH260" s="304">
        <f t="shared" ca="1" si="115"/>
        <v>-2.3979883001891471</v>
      </c>
    </row>
    <row r="261" spans="1:34" x14ac:dyDescent="0.2">
      <c r="A261" s="347">
        <f t="shared" ref="A261:A324" ca="1" si="122">IF(B260+0.01&lt;=T_ini+ROUNDUP(Temps_fin_propu,0), 0.01, IF(K260&gt;0, 0.1, 0.0001))</f>
        <v>0.1</v>
      </c>
      <c r="B261" s="304">
        <f t="shared" ref="B261:B324" ca="1" si="123">B260+pas</f>
        <v>18.399999999999977</v>
      </c>
      <c r="D261" s="306">
        <f t="shared" ref="D261:D324" ca="1" si="124">IF(AND(L260&lt;L_rampe,Poussee&lt;Poids*SIN(M260)),0,(-W260+Poussee)/m*COS(M260)-U260/m*SIN(M260))</f>
        <v>-0.75694587537595726</v>
      </c>
      <c r="E261" s="307">
        <f t="shared" ref="E261:E324" ca="1" si="125">IF(AND(L260&lt;L_rampe,Poussee&lt;Poids*SIN(M260)),0,(-W260+Poussee)/m*SIN(M260)+U260/m*COS(M260)-Poids/m)</f>
        <v>-11.984495433989663</v>
      </c>
      <c r="F261" s="304">
        <f t="shared" ref="F261:F324" ca="1" si="126">SQRT(acc_x^2+acc_z^2)</f>
        <v>12.008376154400217</v>
      </c>
      <c r="G261" s="306">
        <f t="shared" ref="G261:G324" ca="1" si="127">G260+acc_x*pas</f>
        <v>18.878646415731374</v>
      </c>
      <c r="H261" s="307">
        <f t="shared" ref="H261:H324" ca="1" si="128">H260+acc_z*pas</f>
        <v>53.252111991691407</v>
      </c>
      <c r="I261" s="304">
        <f t="shared" ref="I261:I324" ca="1" si="129">SQRT(vit_x^2+vit_z^2)</f>
        <v>56.499475414076642</v>
      </c>
      <c r="J261" s="306">
        <f t="shared" ref="J261:J324" ca="1" si="130">J260+0.5*(vit_x+G260)*pas*(K260&gt;=0)</f>
        <v>436.82728695164707</v>
      </c>
      <c r="K261" s="307">
        <f t="shared" ref="K261:K324" ca="1" si="131">K260+0.5*(vit_z+H260)*pas</f>
        <v>2841.7600805598763</v>
      </c>
      <c r="L261" s="304">
        <f t="shared" ca="1" si="116"/>
        <v>2875.1379852259633</v>
      </c>
      <c r="M261" s="306">
        <f t="shared" ref="M261:M324" ca="1" si="132">IF(AND(L260&gt;L_rampe,G261&gt;0),ATAN2(G261,H261),$M$4)</f>
        <v>1.2301053467168499</v>
      </c>
      <c r="N261" s="304">
        <f t="shared" ref="N261:N324" ca="1" si="133">DEGREES(Beta)</f>
        <v>70.479844723352315</v>
      </c>
      <c r="P261" s="310">
        <f t="shared" ref="P261:P324" ca="1" si="134">MATCH(t-pas/2-T_ini,CdP_t)</f>
        <v>23</v>
      </c>
      <c r="Q261" s="304">
        <f t="shared" ref="Q261:Q324" ca="1" si="135">(INDEX(CdP,2,i_P+1)-INDEX(CdP,2,i_P+0))/(INDEX(CdP,1,i_P+1)-INDEX(CdP,1,i_P+0))*(t-pas/2-T_ini-INDEX(CdP,1,i_P+0))+INDEX(CdP,2,i_P+0)</f>
        <v>0</v>
      </c>
      <c r="R261" s="306">
        <f t="shared" ref="R261:R324" ca="1" si="136">Poussee/(g*ISP)</f>
        <v>0</v>
      </c>
      <c r="S261" s="307">
        <f t="shared" ref="S261:S324" ca="1" si="137">S260-Débit*pas</f>
        <v>1.7842999999999964</v>
      </c>
      <c r="T261" s="304">
        <f t="shared" ca="1" si="117"/>
        <v>17.503982999999966</v>
      </c>
      <c r="U261" s="311">
        <f t="shared" ca="1" si="118"/>
        <v>0</v>
      </c>
      <c r="V261" s="306">
        <f t="shared" ca="1" si="119"/>
        <v>0.92019370780462884</v>
      </c>
      <c r="W261" s="304">
        <f t="shared" ca="1" si="120"/>
        <v>3.9430757049461547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2841.7600805598763</v>
      </c>
      <c r="AG261" s="306">
        <f t="shared" ref="AG261:AG324" ca="1" si="143">IF(AND(L260&lt;L_rampe,Poussee&lt;Poids*SIN(M260)),0,(-W260+Poussee)/m-Poids*SIN(M260)/m)</f>
        <v>-11.567196938151364</v>
      </c>
      <c r="AH261" s="304">
        <f t="shared" ref="AH261:AH324" ca="1" si="144">IF(AND(L260&lt;L_rampe,Poussee&lt;Poids*SIN(M260)), g*SIN(M260), (-W260+Poussee)/m)</f>
        <v>-2.3024763735357987</v>
      </c>
    </row>
    <row r="262" spans="1:34" x14ac:dyDescent="0.2">
      <c r="A262" s="347">
        <f t="shared" ca="1" si="122"/>
        <v>0.1</v>
      </c>
      <c r="B262" s="304">
        <f t="shared" ca="1" si="123"/>
        <v>18.499999999999979</v>
      </c>
      <c r="D262" s="306">
        <f t="shared" ca="1" si="124"/>
        <v>-0.73840338154458651</v>
      </c>
      <c r="E262" s="307">
        <f t="shared" ca="1" si="125"/>
        <v>-11.892857992206991</v>
      </c>
      <c r="F262" s="304">
        <f t="shared" ca="1" si="126"/>
        <v>11.915758925753668</v>
      </c>
      <c r="G262" s="306">
        <f t="shared" ca="1" si="127"/>
        <v>18.804806077576917</v>
      </c>
      <c r="H262" s="307">
        <f t="shared" ca="1" si="128"/>
        <v>52.062826192470709</v>
      </c>
      <c r="I262" s="304">
        <f t="shared" ca="1" si="129"/>
        <v>55.354842631541167</v>
      </c>
      <c r="J262" s="306">
        <f t="shared" ca="1" si="130"/>
        <v>438.71145957631251</v>
      </c>
      <c r="K262" s="307">
        <f t="shared" ca="1" si="131"/>
        <v>2847.0258274690846</v>
      </c>
      <c r="L262" s="304">
        <f t="shared" ca="1" si="116"/>
        <v>2880.6290644648443</v>
      </c>
      <c r="M262" s="306">
        <f t="shared" ca="1" si="132"/>
        <v>1.2241837017984671</v>
      </c>
      <c r="N262" s="304">
        <f t="shared" ca="1" si="133"/>
        <v>70.140559461753895</v>
      </c>
      <c r="P262" s="310">
        <f t="shared" ca="1" si="134"/>
        <v>23</v>
      </c>
      <c r="Q262" s="304">
        <f t="shared" ca="1" si="135"/>
        <v>0</v>
      </c>
      <c r="R262" s="306">
        <f t="shared" ca="1" si="136"/>
        <v>0</v>
      </c>
      <c r="S262" s="307">
        <f t="shared" ca="1" si="137"/>
        <v>1.7842999999999964</v>
      </c>
      <c r="T262" s="304">
        <f t="shared" ca="1" si="117"/>
        <v>17.503982999999966</v>
      </c>
      <c r="U262" s="311">
        <f t="shared" ca="1" si="118"/>
        <v>0</v>
      </c>
      <c r="V262" s="306">
        <f t="shared" ca="1" si="119"/>
        <v>0.91969928690180203</v>
      </c>
      <c r="W262" s="304">
        <f t="shared" ca="1" si="120"/>
        <v>3.7828935086141633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2847.0258274690846</v>
      </c>
      <c r="AG262" s="306">
        <f t="shared" ca="1" si="143"/>
        <v>-11.456033127935683</v>
      </c>
      <c r="AH262" s="304">
        <f t="shared" ca="1" si="144"/>
        <v>-2.209872613880044</v>
      </c>
    </row>
    <row r="263" spans="1:34" x14ac:dyDescent="0.2">
      <c r="A263" s="347">
        <f t="shared" ca="1" si="122"/>
        <v>0.1</v>
      </c>
      <c r="B263" s="304">
        <f t="shared" ca="1" si="123"/>
        <v>18.59999999999998</v>
      </c>
      <c r="D263" s="306">
        <f t="shared" ca="1" si="124"/>
        <v>-0.72022713387380222</v>
      </c>
      <c r="E263" s="307">
        <f t="shared" ca="1" si="125"/>
        <v>-11.804014718114274</v>
      </c>
      <c r="F263" s="304">
        <f t="shared" ca="1" si="126"/>
        <v>11.82596679302908</v>
      </c>
      <c r="G263" s="306">
        <f t="shared" ca="1" si="127"/>
        <v>18.732783364189537</v>
      </c>
      <c r="H263" s="307">
        <f t="shared" ca="1" si="128"/>
        <v>50.88242472065928</v>
      </c>
      <c r="I263" s="304">
        <f t="shared" ca="1" si="129"/>
        <v>54.22119805042319</v>
      </c>
      <c r="J263" s="306">
        <f t="shared" ca="1" si="130"/>
        <v>440.58833904840083</v>
      </c>
      <c r="K263" s="307">
        <f t="shared" ca="1" si="131"/>
        <v>2852.1730900147409</v>
      </c>
      <c r="L263" s="304">
        <f t="shared" ca="1" si="116"/>
        <v>2886.0023250007375</v>
      </c>
      <c r="M263" s="306">
        <f t="shared" ca="1" si="132"/>
        <v>1.218037371839471</v>
      </c>
      <c r="N263" s="304">
        <f t="shared" ca="1" si="133"/>
        <v>69.788400695608601</v>
      </c>
      <c r="P263" s="310">
        <f t="shared" ca="1" si="134"/>
        <v>23</v>
      </c>
      <c r="Q263" s="304">
        <f t="shared" ca="1" si="135"/>
        <v>0</v>
      </c>
      <c r="R263" s="306">
        <f t="shared" ca="1" si="136"/>
        <v>0</v>
      </c>
      <c r="S263" s="307">
        <f t="shared" ca="1" si="137"/>
        <v>1.7842999999999964</v>
      </c>
      <c r="T263" s="304">
        <f t="shared" ca="1" si="117"/>
        <v>17.503982999999966</v>
      </c>
      <c r="U263" s="311">
        <f t="shared" ca="1" si="118"/>
        <v>0</v>
      </c>
      <c r="V263" s="306">
        <f t="shared" ca="1" si="119"/>
        <v>0.91921621116683006</v>
      </c>
      <c r="W263" s="304">
        <f t="shared" ca="1" si="120"/>
        <v>3.6276294479017901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2852.1730900147409</v>
      </c>
      <c r="AG263" s="306">
        <f t="shared" ca="1" si="143"/>
        <v>-11.346687450773597</v>
      </c>
      <c r="AH263" s="304">
        <f t="shared" ca="1" si="144"/>
        <v>-2.1200994836149589</v>
      </c>
    </row>
    <row r="264" spans="1:34" x14ac:dyDescent="0.2">
      <c r="A264" s="347">
        <f t="shared" ca="1" si="122"/>
        <v>0.1</v>
      </c>
      <c r="B264" s="304">
        <f t="shared" ca="1" si="123"/>
        <v>18.699999999999982</v>
      </c>
      <c r="D264" s="306">
        <f t="shared" ca="1" si="124"/>
        <v>-0.70240605161925895</v>
      </c>
      <c r="E264" s="307">
        <f t="shared" ca="1" si="125"/>
        <v>-11.717891761198443</v>
      </c>
      <c r="F264" s="304">
        <f t="shared" ca="1" si="126"/>
        <v>11.738925061031514</v>
      </c>
      <c r="G264" s="306">
        <f t="shared" ca="1" si="127"/>
        <v>18.662542759027613</v>
      </c>
      <c r="H264" s="307">
        <f t="shared" ca="1" si="128"/>
        <v>49.710635544539436</v>
      </c>
      <c r="I264" s="304">
        <f t="shared" ca="1" si="129"/>
        <v>53.098378397786888</v>
      </c>
      <c r="J264" s="306">
        <f t="shared" ca="1" si="130"/>
        <v>442.45810535456167</v>
      </c>
      <c r="K264" s="307">
        <f t="shared" ca="1" si="131"/>
        <v>2857.2027430280009</v>
      </c>
      <c r="L264" s="304">
        <f t="shared" ca="1" si="116"/>
        <v>2891.258668773979</v>
      </c>
      <c r="M264" s="306">
        <f t="shared" ca="1" si="132"/>
        <v>1.2116543857245319</v>
      </c>
      <c r="N264" s="304">
        <f t="shared" ca="1" si="133"/>
        <v>69.422682530531986</v>
      </c>
      <c r="P264" s="310">
        <f t="shared" ca="1" si="134"/>
        <v>23</v>
      </c>
      <c r="Q264" s="304">
        <f t="shared" ca="1" si="135"/>
        <v>0</v>
      </c>
      <c r="R264" s="306">
        <f t="shared" ca="1" si="136"/>
        <v>0</v>
      </c>
      <c r="S264" s="307">
        <f t="shared" ca="1" si="137"/>
        <v>1.7842999999999964</v>
      </c>
      <c r="T264" s="304">
        <f t="shared" ca="1" si="117"/>
        <v>17.503982999999966</v>
      </c>
      <c r="U264" s="311">
        <f t="shared" ca="1" si="118"/>
        <v>0</v>
      </c>
      <c r="V264" s="306">
        <f t="shared" ca="1" si="119"/>
        <v>0.91874438337369113</v>
      </c>
      <c r="W264" s="304">
        <f t="shared" ca="1" si="120"/>
        <v>3.4771565043810253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2857.2027430280009</v>
      </c>
      <c r="AG264" s="306">
        <f t="shared" ca="1" si="143"/>
        <v>-11.239013296164829</v>
      </c>
      <c r="AH264" s="304">
        <f t="shared" ca="1" si="144"/>
        <v>-2.033082692317322</v>
      </c>
    </row>
    <row r="265" spans="1:34" x14ac:dyDescent="0.2">
      <c r="A265" s="347">
        <f t="shared" ca="1" si="122"/>
        <v>0.1</v>
      </c>
      <c r="B265" s="304">
        <f t="shared" ca="1" si="123"/>
        <v>18.799999999999983</v>
      </c>
      <c r="D265" s="306">
        <f t="shared" ca="1" si="124"/>
        <v>-0.68492957706210145</v>
      </c>
      <c r="E265" s="307">
        <f t="shared" ca="1" si="125"/>
        <v>-11.634418302406274</v>
      </c>
      <c r="F265" s="304">
        <f t="shared" ca="1" si="126"/>
        <v>11.654562100778413</v>
      </c>
      <c r="G265" s="306">
        <f t="shared" ca="1" si="127"/>
        <v>18.594049801321404</v>
      </c>
      <c r="H265" s="307">
        <f t="shared" ca="1" si="128"/>
        <v>48.547193714298807</v>
      </c>
      <c r="I265" s="304">
        <f t="shared" ca="1" si="129"/>
        <v>51.986235731659534</v>
      </c>
      <c r="J265" s="306">
        <f t="shared" ca="1" si="130"/>
        <v>444.3209349825791</v>
      </c>
      <c r="K265" s="307">
        <f t="shared" ca="1" si="131"/>
        <v>2862.1156344909427</v>
      </c>
      <c r="L265" s="304">
        <f t="shared" ca="1" si="116"/>
        <v>2896.398970870775</v>
      </c>
      <c r="M265" s="306">
        <f t="shared" ca="1" si="132"/>
        <v>1.2050219449994544</v>
      </c>
      <c r="N265" s="304">
        <f t="shared" ca="1" si="133"/>
        <v>69.042671669114355</v>
      </c>
      <c r="P265" s="310">
        <f t="shared" ca="1" si="134"/>
        <v>23</v>
      </c>
      <c r="Q265" s="304">
        <f t="shared" ca="1" si="135"/>
        <v>0</v>
      </c>
      <c r="R265" s="306">
        <f t="shared" ca="1" si="136"/>
        <v>0</v>
      </c>
      <c r="S265" s="307">
        <f t="shared" ca="1" si="137"/>
        <v>1.7842999999999964</v>
      </c>
      <c r="T265" s="304">
        <f t="shared" ca="1" si="117"/>
        <v>17.503982999999966</v>
      </c>
      <c r="U265" s="311">
        <f t="shared" ca="1" si="118"/>
        <v>0</v>
      </c>
      <c r="V265" s="306">
        <f t="shared" ca="1" si="119"/>
        <v>0.91828370932023995</v>
      </c>
      <c r="W265" s="304">
        <f t="shared" ca="1" si="120"/>
        <v>3.3313529556605657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2862.1156344909427</v>
      </c>
      <c r="AG265" s="306">
        <f t="shared" ca="1" si="143"/>
        <v>-11.132860802150597</v>
      </c>
      <c r="AH265" s="304">
        <f t="shared" ca="1" si="144"/>
        <v>-1.9487510532875818</v>
      </c>
    </row>
    <row r="266" spans="1:34" x14ac:dyDescent="0.2">
      <c r="A266" s="347">
        <f t="shared" ca="1" si="122"/>
        <v>0.1</v>
      </c>
      <c r="B266" s="304">
        <f t="shared" ca="1" si="123"/>
        <v>18.899999999999984</v>
      </c>
      <c r="D266" s="306">
        <f t="shared" ca="1" si="124"/>
        <v>-0.66778766237266129</v>
      </c>
      <c r="E266" s="307">
        <f t="shared" ca="1" si="125"/>
        <v>-11.553526415795686</v>
      </c>
      <c r="F266" s="304">
        <f t="shared" ca="1" si="126"/>
        <v>11.572809209630385</v>
      </c>
      <c r="G266" s="306">
        <f t="shared" ca="1" si="127"/>
        <v>18.527271035084137</v>
      </c>
      <c r="H266" s="307">
        <f t="shared" ca="1" si="128"/>
        <v>47.391841072719238</v>
      </c>
      <c r="I266" s="304">
        <f t="shared" ca="1" si="129"/>
        <v>50.884637880890395</v>
      </c>
      <c r="J266" s="306">
        <f t="shared" ca="1" si="130"/>
        <v>446.17700102439937</v>
      </c>
      <c r="K266" s="307">
        <f t="shared" ca="1" si="131"/>
        <v>2866.9125862302935</v>
      </c>
      <c r="L266" s="304">
        <f t="shared" ca="1" si="116"/>
        <v>2901.424080228328</v>
      </c>
      <c r="M266" s="306">
        <f t="shared" ca="1" si="132"/>
        <v>1.1981263558289152</v>
      </c>
      <c r="N266" s="304">
        <f t="shared" ca="1" si="133"/>
        <v>68.647583512386348</v>
      </c>
      <c r="P266" s="310">
        <f t="shared" ca="1" si="134"/>
        <v>23</v>
      </c>
      <c r="Q266" s="304">
        <f t="shared" ca="1" si="135"/>
        <v>0</v>
      </c>
      <c r="R266" s="306">
        <f t="shared" ca="1" si="136"/>
        <v>0</v>
      </c>
      <c r="S266" s="307">
        <f t="shared" ca="1" si="137"/>
        <v>1.7842999999999964</v>
      </c>
      <c r="T266" s="304">
        <f t="shared" ca="1" si="117"/>
        <v>17.503982999999966</v>
      </c>
      <c r="U266" s="311">
        <f t="shared" ca="1" si="118"/>
        <v>0</v>
      </c>
      <c r="V266" s="306">
        <f t="shared" ca="1" si="119"/>
        <v>0.91783409774812352</v>
      </c>
      <c r="W266" s="304">
        <f t="shared" ca="1" si="120"/>
        <v>3.1901021466372579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2866.9125862302935</v>
      </c>
      <c r="AG266" s="306">
        <f t="shared" ca="1" si="143"/>
        <v>-11.02807606615424</v>
      </c>
      <c r="AH266" s="304">
        <f t="shared" ca="1" si="144"/>
        <v>-1.8670363479575027</v>
      </c>
    </row>
    <row r="267" spans="1:34" x14ac:dyDescent="0.2">
      <c r="A267" s="347">
        <f t="shared" ca="1" si="122"/>
        <v>0.1</v>
      </c>
      <c r="B267" s="304">
        <f t="shared" ca="1" si="123"/>
        <v>18.999999999999986</v>
      </c>
      <c r="D267" s="306">
        <f t="shared" ca="1" si="124"/>
        <v>-0.65097075835523566</v>
      </c>
      <c r="E267" s="307">
        <f t="shared" ca="1" si="125"/>
        <v>-11.475150936937149</v>
      </c>
      <c r="F267" s="304">
        <f t="shared" ca="1" si="126"/>
        <v>11.493600478254111</v>
      </c>
      <c r="G267" s="306">
        <f t="shared" ca="1" si="127"/>
        <v>18.462173959248613</v>
      </c>
      <c r="H267" s="307">
        <f t="shared" ca="1" si="128"/>
        <v>46.244325979025525</v>
      </c>
      <c r="I267" s="304">
        <f t="shared" ca="1" si="129"/>
        <v>49.793468974916109</v>
      </c>
      <c r="J267" s="306">
        <f t="shared" ca="1" si="130"/>
        <v>448.02647327411603</v>
      </c>
      <c r="K267" s="307">
        <f t="shared" ca="1" si="131"/>
        <v>2871.5943945828808</v>
      </c>
      <c r="L267" s="304">
        <f t="shared" ca="1" si="116"/>
        <v>2906.3348203113601</v>
      </c>
      <c r="M267" s="306">
        <f t="shared" ca="1" si="132"/>
        <v>1.1909529547263067</v>
      </c>
      <c r="N267" s="304">
        <f t="shared" ca="1" si="133"/>
        <v>68.236577904452389</v>
      </c>
      <c r="P267" s="310">
        <f t="shared" ca="1" si="134"/>
        <v>23</v>
      </c>
      <c r="Q267" s="304">
        <f t="shared" ca="1" si="135"/>
        <v>0</v>
      </c>
      <c r="R267" s="306">
        <f t="shared" ca="1" si="136"/>
        <v>0</v>
      </c>
      <c r="S267" s="307">
        <f t="shared" ca="1" si="137"/>
        <v>1.7842999999999964</v>
      </c>
      <c r="T267" s="304">
        <f t="shared" ca="1" si="117"/>
        <v>17.503982999999966</v>
      </c>
      <c r="U267" s="311">
        <f t="shared" ca="1" si="118"/>
        <v>0</v>
      </c>
      <c r="V267" s="306">
        <f t="shared" ca="1" si="119"/>
        <v>0.91739546026601515</v>
      </c>
      <c r="W267" s="304">
        <f t="shared" ca="1" si="120"/>
        <v>3.0532922731447742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>
        <f t="shared" ca="1" si="141"/>
        <v>18.999999999999986</v>
      </c>
      <c r="AD267" s="323">
        <f t="shared" ca="1" si="142"/>
        <v>448.02647327411603</v>
      </c>
      <c r="AE267" s="324">
        <f t="shared" ca="1" si="121"/>
        <v>2871.5943945828808</v>
      </c>
      <c r="AG267" s="306">
        <f t="shared" ca="1" si="143"/>
        <v>-10.924500287610678</v>
      </c>
      <c r="AH267" s="304">
        <f t="shared" ca="1" si="144"/>
        <v>-1.787873197689438</v>
      </c>
    </row>
    <row r="268" spans="1:34" x14ac:dyDescent="0.2">
      <c r="A268" s="347">
        <f t="shared" ca="1" si="122"/>
        <v>0.1</v>
      </c>
      <c r="B268" s="304">
        <f t="shared" ca="1" si="123"/>
        <v>19.099999999999987</v>
      </c>
      <c r="D268" s="306">
        <f t="shared" ca="1" si="124"/>
        <v>-0.63446980509968343</v>
      </c>
      <c r="E268" s="307">
        <f t="shared" ca="1" si="125"/>
        <v>-11.399229337543989</v>
      </c>
      <c r="F268" s="304">
        <f t="shared" ca="1" si="126"/>
        <v>11.416872663891228</v>
      </c>
      <c r="G268" s="306">
        <f t="shared" ca="1" si="127"/>
        <v>18.398726978738644</v>
      </c>
      <c r="H268" s="307">
        <f t="shared" ca="1" si="128"/>
        <v>45.104403045271127</v>
      </c>
      <c r="I268" s="304">
        <f t="shared" ca="1" si="129"/>
        <v>48.712630071762995</v>
      </c>
      <c r="J268" s="306">
        <f t="shared" ca="1" si="130"/>
        <v>449.86951832101539</v>
      </c>
      <c r="K268" s="307">
        <f t="shared" ca="1" si="131"/>
        <v>2876.1618310340955</v>
      </c>
      <c r="L268" s="304">
        <f t="shared" ca="1" si="116"/>
        <v>2911.1319897613339</v>
      </c>
      <c r="M268" s="306">
        <f t="shared" ca="1" si="132"/>
        <v>1.1834860274776218</v>
      </c>
      <c r="N268" s="304">
        <f t="shared" ca="1" si="133"/>
        <v>67.808754487171498</v>
      </c>
      <c r="P268" s="310">
        <f t="shared" ca="1" si="134"/>
        <v>23</v>
      </c>
      <c r="Q268" s="304">
        <f t="shared" ca="1" si="135"/>
        <v>0</v>
      </c>
      <c r="R268" s="306">
        <f t="shared" ca="1" si="136"/>
        <v>0</v>
      </c>
      <c r="S268" s="307">
        <f t="shared" ca="1" si="137"/>
        <v>1.7842999999999964</v>
      </c>
      <c r="T268" s="304">
        <f t="shared" ca="1" si="117"/>
        <v>17.503982999999966</v>
      </c>
      <c r="U268" s="311">
        <f t="shared" ca="1" si="118"/>
        <v>0</v>
      </c>
      <c r="V268" s="306">
        <f t="shared" ca="1" si="119"/>
        <v>0.91696771127602228</v>
      </c>
      <c r="W268" s="304">
        <f t="shared" ca="1" si="120"/>
        <v>2.9208161772609476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2876.1618310340955</v>
      </c>
      <c r="AG268" s="306">
        <f t="shared" ca="1" si="143"/>
        <v>-10.821968832501978</v>
      </c>
      <c r="AH268" s="304">
        <f t="shared" ca="1" si="144"/>
        <v>-1.7111989425235556</v>
      </c>
    </row>
    <row r="269" spans="1:34" x14ac:dyDescent="0.2">
      <c r="A269" s="347">
        <f t="shared" ca="1" si="122"/>
        <v>0.1</v>
      </c>
      <c r="B269" s="304">
        <f t="shared" ca="1" si="123"/>
        <v>19.199999999999989</v>
      </c>
      <c r="D269" s="306">
        <f t="shared" ca="1" si="124"/>
        <v>-0.61827622458148646</v>
      </c>
      <c r="E269" s="307">
        <f t="shared" ca="1" si="125"/>
        <v>-11.325701605826197</v>
      </c>
      <c r="F269" s="304">
        <f t="shared" ca="1" si="126"/>
        <v>11.342565069423092</v>
      </c>
      <c r="G269" s="306">
        <f t="shared" ca="1" si="127"/>
        <v>18.336899356280494</v>
      </c>
      <c r="H269" s="307">
        <f t="shared" ca="1" si="128"/>
        <v>43.97183288468851</v>
      </c>
      <c r="I269" s="304">
        <f t="shared" ca="1" si="129"/>
        <v>47.642039893788493</v>
      </c>
      <c r="J269" s="306">
        <f t="shared" ca="1" si="130"/>
        <v>451.70629963776634</v>
      </c>
      <c r="K269" s="307">
        <f t="shared" ca="1" si="131"/>
        <v>2880.6156428305935</v>
      </c>
      <c r="L269" s="304">
        <f t="shared" ca="1" si="116"/>
        <v>2915.8163630195845</v>
      </c>
      <c r="M269" s="306">
        <f t="shared" ca="1" si="132"/>
        <v>1.1757087206386954</v>
      </c>
      <c r="N269" s="304">
        <f t="shared" ca="1" si="133"/>
        <v>67.363147629322796</v>
      </c>
      <c r="P269" s="310">
        <f t="shared" ca="1" si="134"/>
        <v>23</v>
      </c>
      <c r="Q269" s="304">
        <f t="shared" ca="1" si="135"/>
        <v>0</v>
      </c>
      <c r="R269" s="306">
        <f t="shared" ca="1" si="136"/>
        <v>0</v>
      </c>
      <c r="S269" s="307">
        <f t="shared" ca="1" si="137"/>
        <v>1.7842999999999964</v>
      </c>
      <c r="T269" s="304">
        <f t="shared" ca="1" si="117"/>
        <v>17.503982999999966</v>
      </c>
      <c r="U269" s="311">
        <f t="shared" ca="1" si="118"/>
        <v>0</v>
      </c>
      <c r="V269" s="306">
        <f t="shared" ca="1" si="119"/>
        <v>0.91655076790312007</v>
      </c>
      <c r="W269" s="304">
        <f t="shared" ca="1" si="120"/>
        <v>2.7925711535844226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2880.6156428305935</v>
      </c>
      <c r="AG269" s="306">
        <f t="shared" ca="1" si="143"/>
        <v>-10.720310208745817</v>
      </c>
      <c r="AH269" s="304">
        <f t="shared" ca="1" si="144"/>
        <v>-1.6369535264590895</v>
      </c>
    </row>
    <row r="270" spans="1:34" x14ac:dyDescent="0.2">
      <c r="A270" s="347">
        <f t="shared" ca="1" si="122"/>
        <v>0.1</v>
      </c>
      <c r="B270" s="304">
        <f t="shared" ca="1" si="123"/>
        <v>19.29999999999999</v>
      </c>
      <c r="D270" s="306">
        <f t="shared" ca="1" si="124"/>
        <v>-0.60238191526898299</v>
      </c>
      <c r="E270" s="307">
        <f t="shared" ca="1" si="125"/>
        <v>-11.254510132073888</v>
      </c>
      <c r="F270" s="304">
        <f t="shared" ca="1" si="126"/>
        <v>11.270619427733195</v>
      </c>
      <c r="G270" s="306">
        <f t="shared" ca="1" si="127"/>
        <v>18.276661164753595</v>
      </c>
      <c r="H270" s="307">
        <f t="shared" ca="1" si="128"/>
        <v>42.846381871481121</v>
      </c>
      <c r="I270" s="304">
        <f t="shared" ca="1" si="129"/>
        <v>46.581635681972337</v>
      </c>
      <c r="J270" s="306">
        <f t="shared" ca="1" si="130"/>
        <v>453.53697766381805</v>
      </c>
      <c r="K270" s="307">
        <f t="shared" ca="1" si="131"/>
        <v>2884.9565535684019</v>
      </c>
      <c r="L270" s="304">
        <f t="shared" ca="1" si="116"/>
        <v>2920.3886909255252</v>
      </c>
      <c r="M270" s="306">
        <f t="shared" ca="1" si="132"/>
        <v>1.1676029449440655</v>
      </c>
      <c r="N270" s="304">
        <f t="shared" ca="1" si="133"/>
        <v>66.898720892340776</v>
      </c>
      <c r="P270" s="310">
        <f t="shared" ca="1" si="134"/>
        <v>23</v>
      </c>
      <c r="Q270" s="304">
        <f t="shared" ca="1" si="135"/>
        <v>0</v>
      </c>
      <c r="R270" s="306">
        <f t="shared" ca="1" si="136"/>
        <v>0</v>
      </c>
      <c r="S270" s="307">
        <f t="shared" ca="1" si="137"/>
        <v>1.7842999999999964</v>
      </c>
      <c r="T270" s="304">
        <f t="shared" ca="1" si="117"/>
        <v>17.503982999999966</v>
      </c>
      <c r="U270" s="311">
        <f t="shared" ca="1" si="118"/>
        <v>0</v>
      </c>
      <c r="V270" s="306">
        <f t="shared" ca="1" si="119"/>
        <v>0.91614454992747352</v>
      </c>
      <c r="W270" s="304">
        <f t="shared" ca="1" si="120"/>
        <v>2.6684587658365073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2884.9565535684019</v>
      </c>
      <c r="AG270" s="306">
        <f t="shared" ca="1" si="143"/>
        <v>-10.61934494007423</v>
      </c>
      <c r="AH270" s="304">
        <f t="shared" ca="1" si="144"/>
        <v>-1.5650793888832752</v>
      </c>
    </row>
    <row r="271" spans="1:34" x14ac:dyDescent="0.2">
      <c r="A271" s="347">
        <f t="shared" ca="1" si="122"/>
        <v>0.1</v>
      </c>
      <c r="B271" s="304">
        <f t="shared" ca="1" si="123"/>
        <v>19.399999999999991</v>
      </c>
      <c r="D271" s="306">
        <f t="shared" ca="1" si="124"/>
        <v>-0.58677924881478161</v>
      </c>
      <c r="E271" s="307">
        <f t="shared" ca="1" si="125"/>
        <v>-11.185599598982769</v>
      </c>
      <c r="F271" s="304">
        <f t="shared" ca="1" si="126"/>
        <v>11.200979790875579</v>
      </c>
      <c r="G271" s="306">
        <f t="shared" ca="1" si="127"/>
        <v>18.217983239872115</v>
      </c>
      <c r="H271" s="307">
        <f t="shared" ca="1" si="128"/>
        <v>41.727821911582843</v>
      </c>
      <c r="I271" s="304">
        <f t="shared" ca="1" si="129"/>
        <v>45.531374181030763</v>
      </c>
      <c r="J271" s="306">
        <f t="shared" ca="1" si="130"/>
        <v>455.36170988404933</v>
      </c>
      <c r="K271" s="307">
        <f t="shared" ca="1" si="131"/>
        <v>2889.1852637575553</v>
      </c>
      <c r="L271" s="304">
        <f t="shared" ca="1" si="116"/>
        <v>2924.8497012910493</v>
      </c>
      <c r="M271" s="306">
        <f t="shared" ca="1" si="132"/>
        <v>1.1591492699283625</v>
      </c>
      <c r="N271" s="304">
        <f t="shared" ca="1" si="133"/>
        <v>66.414360992565804</v>
      </c>
      <c r="P271" s="310">
        <f t="shared" ca="1" si="134"/>
        <v>23</v>
      </c>
      <c r="Q271" s="304">
        <f t="shared" ca="1" si="135"/>
        <v>0</v>
      </c>
      <c r="R271" s="306">
        <f t="shared" ca="1" si="136"/>
        <v>0</v>
      </c>
      <c r="S271" s="307">
        <f t="shared" ca="1" si="137"/>
        <v>1.7842999999999964</v>
      </c>
      <c r="T271" s="304">
        <f t="shared" ca="1" si="117"/>
        <v>17.503982999999966</v>
      </c>
      <c r="U271" s="311">
        <f t="shared" ca="1" si="118"/>
        <v>0</v>
      </c>
      <c r="V271" s="306">
        <f t="shared" ca="1" si="119"/>
        <v>0.91574897971951763</v>
      </c>
      <c r="W271" s="304">
        <f t="shared" ca="1" si="120"/>
        <v>2.5483846731860478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2889.1852637575553</v>
      </c>
      <c r="AG271" s="306">
        <f t="shared" ca="1" si="143"/>
        <v>-10.518884324584358</v>
      </c>
      <c r="AH271" s="304">
        <f t="shared" ca="1" si="144"/>
        <v>-1.4955213617869825</v>
      </c>
    </row>
    <row r="272" spans="1:34" x14ac:dyDescent="0.2">
      <c r="A272" s="347">
        <f t="shared" ca="1" si="122"/>
        <v>0.1</v>
      </c>
      <c r="B272" s="304">
        <f t="shared" ca="1" si="123"/>
        <v>19.499999999999993</v>
      </c>
      <c r="D272" s="306">
        <f t="shared" ca="1" si="124"/>
        <v>-0.57146106892819826</v>
      </c>
      <c r="E272" s="307">
        <f t="shared" ca="1" si="125"/>
        <v>-11.1189168762352</v>
      </c>
      <c r="F272" s="304">
        <f t="shared" ca="1" si="126"/>
        <v>11.133592423558916</v>
      </c>
      <c r="G272" s="306">
        <f t="shared" ca="1" si="127"/>
        <v>18.160837132979296</v>
      </c>
      <c r="H272" s="307">
        <f t="shared" ca="1" si="128"/>
        <v>40.615930223959325</v>
      </c>
      <c r="I272" s="304">
        <f t="shared" ca="1" si="129"/>
        <v>44.49123276925615</v>
      </c>
      <c r="J272" s="306">
        <f t="shared" ca="1" si="130"/>
        <v>457.18065090269192</v>
      </c>
      <c r="K272" s="307">
        <f t="shared" ca="1" si="131"/>
        <v>2893.3024513643322</v>
      </c>
      <c r="L272" s="304">
        <f t="shared" ca="1" si="116"/>
        <v>2929.2000994521804</v>
      </c>
      <c r="M272" s="306">
        <f t="shared" ca="1" si="132"/>
        <v>1.1503268090304692</v>
      </c>
      <c r="N272" s="304">
        <f t="shared" ca="1" si="133"/>
        <v>65.908871218197319</v>
      </c>
      <c r="P272" s="310">
        <f t="shared" ca="1" si="134"/>
        <v>23</v>
      </c>
      <c r="Q272" s="304">
        <f t="shared" ca="1" si="135"/>
        <v>0</v>
      </c>
      <c r="R272" s="306">
        <f t="shared" ca="1" si="136"/>
        <v>0</v>
      </c>
      <c r="S272" s="307">
        <f t="shared" ca="1" si="137"/>
        <v>1.7842999999999964</v>
      </c>
      <c r="T272" s="304">
        <f t="shared" ca="1" si="117"/>
        <v>17.503982999999966</v>
      </c>
      <c r="U272" s="311">
        <f t="shared" ca="1" si="118"/>
        <v>0</v>
      </c>
      <c r="V272" s="306">
        <f t="shared" ca="1" si="119"/>
        <v>0.91536398217767112</v>
      </c>
      <c r="W272" s="304">
        <f t="shared" ca="1" si="120"/>
        <v>2.4322584657336752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2893.3024513643322</v>
      </c>
      <c r="AG272" s="306">
        <f t="shared" ca="1" si="143"/>
        <v>-10.418729062538247</v>
      </c>
      <c r="AH272" s="304">
        <f t="shared" ca="1" si="144"/>
        <v>-1.4282265724295538</v>
      </c>
    </row>
    <row r="273" spans="1:34" x14ac:dyDescent="0.2">
      <c r="A273" s="347">
        <f t="shared" ca="1" si="122"/>
        <v>0.1</v>
      </c>
      <c r="B273" s="304">
        <f t="shared" ca="1" si="123"/>
        <v>19.599999999999994</v>
      </c>
      <c r="D273" s="306">
        <f t="shared" ca="1" si="124"/>
        <v>-0.55642069254699555</v>
      </c>
      <c r="E273" s="307">
        <f t="shared" ca="1" si="125"/>
        <v>-11.054410918845592</v>
      </c>
      <c r="F273" s="304">
        <f t="shared" ca="1" si="126"/>
        <v>11.068405700451494</v>
      </c>
      <c r="G273" s="306">
        <f t="shared" ca="1" si="127"/>
        <v>18.105195063724597</v>
      </c>
      <c r="H273" s="307">
        <f t="shared" ca="1" si="128"/>
        <v>39.510489132074767</v>
      </c>
      <c r="I273" s="304">
        <f t="shared" ca="1" si="129"/>
        <v>43.461210748796631</v>
      </c>
      <c r="J273" s="306">
        <f t="shared" ca="1" si="130"/>
        <v>458.99395251252713</v>
      </c>
      <c r="K273" s="307">
        <f t="shared" ca="1" si="131"/>
        <v>2897.3087723321341</v>
      </c>
      <c r="L273" s="304">
        <f t="shared" ca="1" si="116"/>
        <v>2933.4405687990015</v>
      </c>
      <c r="M273" s="306">
        <f t="shared" ca="1" si="132"/>
        <v>1.1411130944307539</v>
      </c>
      <c r="N273" s="304">
        <f t="shared" ca="1" si="133"/>
        <v>65.380964257995558</v>
      </c>
      <c r="P273" s="310">
        <f t="shared" ca="1" si="134"/>
        <v>23</v>
      </c>
      <c r="Q273" s="304">
        <f t="shared" ca="1" si="135"/>
        <v>0</v>
      </c>
      <c r="R273" s="306">
        <f t="shared" ca="1" si="136"/>
        <v>0</v>
      </c>
      <c r="S273" s="307">
        <f t="shared" ca="1" si="137"/>
        <v>1.7842999999999964</v>
      </c>
      <c r="T273" s="304">
        <f t="shared" ca="1" si="117"/>
        <v>17.503982999999966</v>
      </c>
      <c r="U273" s="311">
        <f t="shared" ca="1" si="118"/>
        <v>0</v>
      </c>
      <c r="V273" s="306">
        <f t="shared" ca="1" si="119"/>
        <v>0.91498948466856267</v>
      </c>
      <c r="W273" s="304">
        <f t="shared" ca="1" si="120"/>
        <v>2.3199935086274173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2897.3087723321341</v>
      </c>
      <c r="AG273" s="306">
        <f t="shared" ca="1" si="143"/>
        <v>-10.318667736237863</v>
      </c>
      <c r="AH273" s="304">
        <f t="shared" ca="1" si="144"/>
        <v>-1.3631443511369612</v>
      </c>
    </row>
    <row r="274" spans="1:34" x14ac:dyDescent="0.2">
      <c r="A274" s="347">
        <f t="shared" ca="1" si="122"/>
        <v>0.1</v>
      </c>
      <c r="B274" s="304">
        <f t="shared" ca="1" si="123"/>
        <v>19.699999999999996</v>
      </c>
      <c r="D274" s="306">
        <f t="shared" ca="1" si="124"/>
        <v>-0.54165191345001984</v>
      </c>
      <c r="E274" s="307">
        <f t="shared" ca="1" si="125"/>
        <v>-10.992032668767719</v>
      </c>
      <c r="F274" s="304">
        <f t="shared" ca="1" si="126"/>
        <v>11.005370006801263</v>
      </c>
      <c r="G274" s="306">
        <f t="shared" ca="1" si="127"/>
        <v>18.051029872379594</v>
      </c>
      <c r="H274" s="307">
        <f t="shared" ca="1" si="128"/>
        <v>38.411285865197996</v>
      </c>
      <c r="I274" s="304">
        <f t="shared" ca="1" si="129"/>
        <v>42.441330814095586</v>
      </c>
      <c r="J274" s="306">
        <f t="shared" ca="1" si="130"/>
        <v>460.80176375933235</v>
      </c>
      <c r="K274" s="307">
        <f t="shared" ca="1" si="131"/>
        <v>2901.2048610819979</v>
      </c>
      <c r="L274" s="304">
        <f t="shared" ca="1" si="116"/>
        <v>2937.5717712848354</v>
      </c>
      <c r="M274" s="306">
        <f t="shared" ca="1" si="132"/>
        <v>1.1314839408680386</v>
      </c>
      <c r="N274" s="304">
        <f t="shared" ca="1" si="133"/>
        <v>64.829254398568622</v>
      </c>
      <c r="P274" s="310">
        <f t="shared" ca="1" si="134"/>
        <v>23</v>
      </c>
      <c r="Q274" s="304">
        <f t="shared" ca="1" si="135"/>
        <v>0</v>
      </c>
      <c r="R274" s="306">
        <f t="shared" ca="1" si="136"/>
        <v>0</v>
      </c>
      <c r="S274" s="307">
        <f t="shared" ca="1" si="137"/>
        <v>1.7842999999999964</v>
      </c>
      <c r="T274" s="304">
        <f t="shared" ca="1" si="117"/>
        <v>17.503982999999966</v>
      </c>
      <c r="U274" s="311">
        <f t="shared" ca="1" si="118"/>
        <v>0</v>
      </c>
      <c r="V274" s="306">
        <f t="shared" ca="1" si="119"/>
        <v>0.91462541696965238</v>
      </c>
      <c r="W274" s="304">
        <f t="shared" ca="1" si="120"/>
        <v>2.2115067943143774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2901.2048610819979</v>
      </c>
      <c r="AG274" s="306">
        <f t="shared" ca="1" si="143"/>
        <v>-10.218475122916511</v>
      </c>
      <c r="AH274" s="304">
        <f t="shared" ca="1" si="144"/>
        <v>-1.3002261439373546</v>
      </c>
    </row>
    <row r="275" spans="1:34" x14ac:dyDescent="0.2">
      <c r="A275" s="347">
        <f t="shared" ca="1" si="122"/>
        <v>0.1</v>
      </c>
      <c r="B275" s="304">
        <f t="shared" ca="1" si="123"/>
        <v>19.799999999999997</v>
      </c>
      <c r="D275" s="306">
        <f t="shared" ca="1" si="124"/>
        <v>-0.52714900847759461</v>
      </c>
      <c r="E275" s="307">
        <f t="shared" ca="1" si="125"/>
        <v>-10.931734959243038</v>
      </c>
      <c r="F275" s="304">
        <f t="shared" ca="1" si="126"/>
        <v>10.944437641846898</v>
      </c>
      <c r="G275" s="306">
        <f t="shared" ca="1" si="127"/>
        <v>17.998314971531833</v>
      </c>
      <c r="H275" s="307">
        <f t="shared" ca="1" si="128"/>
        <v>37.318112369273692</v>
      </c>
      <c r="I275" s="304">
        <f t="shared" ca="1" si="129"/>
        <v>41.431640718419601</v>
      </c>
      <c r="J275" s="306">
        <f t="shared" ca="1" si="130"/>
        <v>462.60423100152792</v>
      </c>
      <c r="K275" s="307">
        <f t="shared" ca="1" si="131"/>
        <v>2904.9913309937215</v>
      </c>
      <c r="L275" s="304">
        <f t="shared" ca="1" si="116"/>
        <v>2941.5943479156313</v>
      </c>
      <c r="M275" s="306">
        <f t="shared" ca="1" si="132"/>
        <v>1.1214132977030207</v>
      </c>
      <c r="N275" s="304">
        <f t="shared" ca="1" si="133"/>
        <v>64.252249048230823</v>
      </c>
      <c r="P275" s="310">
        <f t="shared" ca="1" si="134"/>
        <v>23</v>
      </c>
      <c r="Q275" s="304">
        <f t="shared" ca="1" si="135"/>
        <v>0</v>
      </c>
      <c r="R275" s="306">
        <f t="shared" ca="1" si="136"/>
        <v>0</v>
      </c>
      <c r="S275" s="307">
        <f t="shared" ca="1" si="137"/>
        <v>1.7842999999999964</v>
      </c>
      <c r="T275" s="304">
        <f t="shared" ca="1" si="117"/>
        <v>17.503982999999966</v>
      </c>
      <c r="U275" s="311">
        <f t="shared" ca="1" si="118"/>
        <v>0</v>
      </c>
      <c r="V275" s="306">
        <f t="shared" ca="1" si="119"/>
        <v>0.91427171121414086</v>
      </c>
      <c r="W275" s="304">
        <f t="shared" ca="1" si="120"/>
        <v>2.1067188024633583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2904.9913309937215</v>
      </c>
      <c r="AG275" s="306">
        <f t="shared" ca="1" si="143"/>
        <v>-10.117910319595099</v>
      </c>
      <c r="AH275" s="304">
        <f t="shared" ca="1" si="144"/>
        <v>-1.2394254297564209</v>
      </c>
    </row>
    <row r="276" spans="1:34" x14ac:dyDescent="0.2">
      <c r="A276" s="347">
        <f t="shared" ca="1" si="122"/>
        <v>0.1</v>
      </c>
      <c r="B276" s="304">
        <f t="shared" ca="1" si="123"/>
        <v>19.899999999999999</v>
      </c>
      <c r="D276" s="306">
        <f t="shared" ca="1" si="124"/>
        <v>-0.51290674655390445</v>
      </c>
      <c r="E276" s="307">
        <f t="shared" ca="1" si="125"/>
        <v>-10.873472421342349</v>
      </c>
      <c r="F276" s="304">
        <f t="shared" ca="1" si="126"/>
        <v>10.885562724469192</v>
      </c>
      <c r="G276" s="306">
        <f t="shared" ca="1" si="127"/>
        <v>17.947024296876442</v>
      </c>
      <c r="H276" s="307">
        <f t="shared" ca="1" si="128"/>
        <v>36.230765127139456</v>
      </c>
      <c r="I276" s="304">
        <f t="shared" ca="1" si="129"/>
        <v>40.432215160817222</v>
      </c>
      <c r="J276" s="306">
        <f t="shared" ca="1" si="130"/>
        <v>464.40149796494836</v>
      </c>
      <c r="K276" s="307">
        <f t="shared" ca="1" si="131"/>
        <v>2908.6687748685422</v>
      </c>
      <c r="L276" s="304">
        <f t="shared" ca="1" si="116"/>
        <v>2945.5089192204723</v>
      </c>
      <c r="M276" s="306">
        <f t="shared" ca="1" si="132"/>
        <v>1.1108730885485927</v>
      </c>
      <c r="N276" s="304">
        <f t="shared" ca="1" si="133"/>
        <v>63.648339548496942</v>
      </c>
      <c r="P276" s="310">
        <f t="shared" ca="1" si="134"/>
        <v>23</v>
      </c>
      <c r="Q276" s="304">
        <f t="shared" ca="1" si="135"/>
        <v>0</v>
      </c>
      <c r="R276" s="306">
        <f t="shared" ca="1" si="136"/>
        <v>0</v>
      </c>
      <c r="S276" s="307">
        <f t="shared" ca="1" si="137"/>
        <v>1.7842999999999964</v>
      </c>
      <c r="T276" s="304">
        <f t="shared" ca="1" si="117"/>
        <v>17.503982999999966</v>
      </c>
      <c r="U276" s="311">
        <f t="shared" ca="1" si="118"/>
        <v>0</v>
      </c>
      <c r="V276" s="306">
        <f t="shared" ca="1" si="119"/>
        <v>0.91392830183805296</v>
      </c>
      <c r="W276" s="304">
        <f t="shared" ca="1" si="120"/>
        <v>2.0055533671208932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2908.6687748685422</v>
      </c>
      <c r="AG276" s="306">
        <f t="shared" ca="1" si="143"/>
        <v>-10.016714656797291</v>
      </c>
      <c r="AH276" s="304">
        <f t="shared" ca="1" si="144"/>
        <v>-1.1806976419118771</v>
      </c>
    </row>
    <row r="277" spans="1:34" x14ac:dyDescent="0.2">
      <c r="A277" s="347">
        <f t="shared" ca="1" si="122"/>
        <v>0.1</v>
      </c>
      <c r="B277" s="304">
        <f t="shared" ca="1" si="123"/>
        <v>20</v>
      </c>
      <c r="D277" s="306">
        <f t="shared" ca="1" si="124"/>
        <v>-0.49892040073506261</v>
      </c>
      <c r="E277" s="307">
        <f t="shared" ca="1" si="125"/>
        <v>-10.817201392116932</v>
      </c>
      <c r="F277" s="304">
        <f t="shared" ca="1" si="126"/>
        <v>10.828701100496131</v>
      </c>
      <c r="G277" s="306">
        <f t="shared" ca="1" si="127"/>
        <v>17.897132256802937</v>
      </c>
      <c r="H277" s="307">
        <f t="shared" ca="1" si="128"/>
        <v>35.149044987927766</v>
      </c>
      <c r="I277" s="304">
        <f t="shared" ca="1" si="129"/>
        <v>39.443157918463704</v>
      </c>
      <c r="J277" s="306">
        <f t="shared" ca="1" si="130"/>
        <v>466.19370579263233</v>
      </c>
      <c r="K277" s="307">
        <f t="shared" ca="1" si="131"/>
        <v>2912.2377653742956</v>
      </c>
      <c r="L277" s="304">
        <f t="shared" ca="1" si="116"/>
        <v>2949.3160857040971</v>
      </c>
      <c r="M277" s="306">
        <f t="shared" ca="1" si="132"/>
        <v>1.0998330378880223</v>
      </c>
      <c r="N277" s="304">
        <f t="shared" ca="1" si="133"/>
        <v>63.015791240035647</v>
      </c>
      <c r="P277" s="310">
        <f t="shared" ca="1" si="134"/>
        <v>23</v>
      </c>
      <c r="Q277" s="304">
        <f t="shared" ca="1" si="135"/>
        <v>0</v>
      </c>
      <c r="R277" s="306">
        <f t="shared" ca="1" si="136"/>
        <v>0</v>
      </c>
      <c r="S277" s="307">
        <f t="shared" ca="1" si="137"/>
        <v>1.7842999999999964</v>
      </c>
      <c r="T277" s="304">
        <f t="shared" ca="1" si="117"/>
        <v>17.503982999999966</v>
      </c>
      <c r="U277" s="311">
        <f t="shared" ca="1" si="118"/>
        <v>0</v>
      </c>
      <c r="V277" s="306">
        <f t="shared" ca="1" si="119"/>
        <v>0.9135951255293957</v>
      </c>
      <c r="W277" s="304">
        <f t="shared" ca="1" si="120"/>
        <v>1.9079375506884477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>
        <f t="shared" ca="1" si="141"/>
        <v>20</v>
      </c>
      <c r="AD277" s="323">
        <f t="shared" ca="1" si="142"/>
        <v>466.19370579263233</v>
      </c>
      <c r="AE277" s="324">
        <f t="shared" ca="1" si="121"/>
        <v>2912.2377653742956</v>
      </c>
      <c r="AG277" s="306">
        <f t="shared" ca="1" si="143"/>
        <v>-9.9146093759769069</v>
      </c>
      <c r="AH277" s="304">
        <f t="shared" ca="1" si="144"/>
        <v>-1.1240000936618826</v>
      </c>
    </row>
    <row r="278" spans="1:34" x14ac:dyDescent="0.2">
      <c r="A278" s="347">
        <f t="shared" ca="1" si="122"/>
        <v>0.1</v>
      </c>
      <c r="B278" s="304">
        <f t="shared" ca="1" si="123"/>
        <v>20.100000000000001</v>
      </c>
      <c r="D278" s="306">
        <f t="shared" ca="1" si="124"/>
        <v>-0.48518576353807652</v>
      </c>
      <c r="E278" s="307">
        <f t="shared" ca="1" si="125"/>
        <v>-10.762879823728159</v>
      </c>
      <c r="F278" s="304">
        <f t="shared" ca="1" si="126"/>
        <v>10.773810251027941</v>
      </c>
      <c r="G278" s="306">
        <f t="shared" ca="1" si="127"/>
        <v>17.84861368044913</v>
      </c>
      <c r="H278" s="307">
        <f t="shared" ca="1" si="128"/>
        <v>34.072757005554948</v>
      </c>
      <c r="I278" s="304">
        <f t="shared" ca="1" si="129"/>
        <v>38.464604252136922</v>
      </c>
      <c r="J278" s="306">
        <f t="shared" ca="1" si="130"/>
        <v>467.98099308949492</v>
      </c>
      <c r="K278" s="307">
        <f t="shared" ca="1" si="131"/>
        <v>2915.6988554739696</v>
      </c>
      <c r="L278" s="304">
        <f t="shared" ca="1" si="116"/>
        <v>2953.0164282823157</v>
      </c>
      <c r="M278" s="306">
        <f t="shared" ca="1" si="132"/>
        <v>1.0882604842666326</v>
      </c>
      <c r="N278" s="304">
        <f t="shared" ca="1" si="133"/>
        <v>62.352732759341173</v>
      </c>
      <c r="P278" s="310">
        <f t="shared" ca="1" si="134"/>
        <v>23</v>
      </c>
      <c r="Q278" s="304">
        <f t="shared" ca="1" si="135"/>
        <v>0</v>
      </c>
      <c r="R278" s="306">
        <f t="shared" ca="1" si="136"/>
        <v>0</v>
      </c>
      <c r="S278" s="307">
        <f t="shared" ca="1" si="137"/>
        <v>1.7842999999999964</v>
      </c>
      <c r="T278" s="304">
        <f t="shared" ca="1" si="117"/>
        <v>17.503982999999966</v>
      </c>
      <c r="U278" s="311">
        <f t="shared" ca="1" si="118"/>
        <v>0</v>
      </c>
      <c r="V278" s="306">
        <f t="shared" ca="1" si="119"/>
        <v>0.91327212117928347</v>
      </c>
      <c r="W278" s="304">
        <f t="shared" ca="1" si="120"/>
        <v>1.8138015243315162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2915.6988554739696</v>
      </c>
      <c r="AG278" s="306">
        <f t="shared" ca="1" si="143"/>
        <v>-9.8112930436000205</v>
      </c>
      <c r="AH278" s="304">
        <f t="shared" ca="1" si="144"/>
        <v>-1.0692919075763334</v>
      </c>
    </row>
    <row r="279" spans="1:34" x14ac:dyDescent="0.2">
      <c r="A279" s="347">
        <f t="shared" ca="1" si="122"/>
        <v>0.1</v>
      </c>
      <c r="B279" s="304">
        <f t="shared" ca="1" si="123"/>
        <v>20.200000000000003</v>
      </c>
      <c r="D279" s="306">
        <f t="shared" ca="1" si="124"/>
        <v>-0.47169916583919774</v>
      </c>
      <c r="E279" s="307">
        <f t="shared" ca="1" si="125"/>
        <v>-10.710467192864781</v>
      </c>
      <c r="F279" s="304">
        <f t="shared" ca="1" si="126"/>
        <v>10.720849201088791</v>
      </c>
      <c r="G279" s="306">
        <f t="shared" ca="1" si="127"/>
        <v>17.801443763865212</v>
      </c>
      <c r="H279" s="307">
        <f t="shared" ca="1" si="128"/>
        <v>33.001710286268469</v>
      </c>
      <c r="I279" s="304">
        <f t="shared" ca="1" si="129"/>
        <v>37.496723615495441</v>
      </c>
      <c r="J279" s="306">
        <f t="shared" ca="1" si="130"/>
        <v>469.76349596171065</v>
      </c>
      <c r="K279" s="307">
        <f t="shared" ca="1" si="131"/>
        <v>2919.0525788385607</v>
      </c>
      <c r="L279" s="304">
        <f t="shared" ca="1" si="116"/>
        <v>2956.6105087011747</v>
      </c>
      <c r="M279" s="306">
        <f t="shared" ca="1" si="132"/>
        <v>1.0761201798941222</v>
      </c>
      <c r="N279" s="304">
        <f t="shared" ca="1" si="133"/>
        <v>61.657144556792112</v>
      </c>
      <c r="P279" s="310">
        <f t="shared" ca="1" si="134"/>
        <v>23</v>
      </c>
      <c r="Q279" s="304">
        <f t="shared" ca="1" si="135"/>
        <v>0</v>
      </c>
      <c r="R279" s="306">
        <f t="shared" ca="1" si="136"/>
        <v>0</v>
      </c>
      <c r="S279" s="307">
        <f t="shared" ca="1" si="137"/>
        <v>1.7842999999999964</v>
      </c>
      <c r="T279" s="304">
        <f t="shared" ca="1" si="117"/>
        <v>17.503982999999966</v>
      </c>
      <c r="U279" s="311">
        <f t="shared" ca="1" si="118"/>
        <v>0</v>
      </c>
      <c r="V279" s="306">
        <f t="shared" ca="1" si="119"/>
        <v>0.91295922983493205</v>
      </c>
      <c r="W279" s="304">
        <f t="shared" ca="1" si="120"/>
        <v>1.7230784544521971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2919.0525788385607</v>
      </c>
      <c r="AG279" s="306">
        <f t="shared" ca="1" si="143"/>
        <v>-9.7064386732163488</v>
      </c>
      <c r="AH279" s="304">
        <f t="shared" ca="1" si="144"/>
        <v>-1.0165339485128733</v>
      </c>
    </row>
    <row r="280" spans="1:34" x14ac:dyDescent="0.2">
      <c r="A280" s="347">
        <f t="shared" ca="1" si="122"/>
        <v>0.1</v>
      </c>
      <c r="B280" s="304">
        <f t="shared" ca="1" si="123"/>
        <v>20.300000000000004</v>
      </c>
      <c r="D280" s="306">
        <f t="shared" ca="1" si="124"/>
        <v>-0.4584574996647201</v>
      </c>
      <c r="E280" s="307">
        <f t="shared" ca="1" si="125"/>
        <v>-10.659924409682656</v>
      </c>
      <c r="F280" s="304">
        <f t="shared" ca="1" si="126"/>
        <v>10.669778427837523</v>
      </c>
      <c r="G280" s="306">
        <f t="shared" ca="1" si="127"/>
        <v>17.755598013898741</v>
      </c>
      <c r="H280" s="307">
        <f t="shared" ca="1" si="128"/>
        <v>31.935717845300204</v>
      </c>
      <c r="I280" s="304">
        <f t="shared" ca="1" si="129"/>
        <v>36.539722701818505</v>
      </c>
      <c r="J280" s="306">
        <f t="shared" ca="1" si="130"/>
        <v>471.54134805059886</v>
      </c>
      <c r="K280" s="307">
        <f t="shared" ca="1" si="131"/>
        <v>2922.2994502451393</v>
      </c>
      <c r="L280" s="304">
        <f t="shared" ca="1" si="116"/>
        <v>2960.0988699407358</v>
      </c>
      <c r="M280" s="306">
        <f t="shared" ca="1" si="132"/>
        <v>1.0633740768624922</v>
      </c>
      <c r="N280" s="304">
        <f t="shared" ca="1" si="133"/>
        <v>60.926846647840804</v>
      </c>
      <c r="P280" s="310">
        <f t="shared" ca="1" si="134"/>
        <v>23</v>
      </c>
      <c r="Q280" s="304">
        <f t="shared" ca="1" si="135"/>
        <v>0</v>
      </c>
      <c r="R280" s="306">
        <f t="shared" ca="1" si="136"/>
        <v>0</v>
      </c>
      <c r="S280" s="307">
        <f t="shared" ca="1" si="137"/>
        <v>1.7842999999999964</v>
      </c>
      <c r="T280" s="304">
        <f t="shared" ca="1" si="117"/>
        <v>17.503982999999966</v>
      </c>
      <c r="U280" s="311">
        <f t="shared" ca="1" si="118"/>
        <v>0</v>
      </c>
      <c r="V280" s="306">
        <f t="shared" ca="1" si="119"/>
        <v>0.91265639465441928</v>
      </c>
      <c r="W280" s="304">
        <f t="shared" ca="1" si="120"/>
        <v>1.6357043948754804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2922.2994502451393</v>
      </c>
      <c r="AG280" s="306">
        <f t="shared" ca="1" si="143"/>
        <v>-9.5996905258015861</v>
      </c>
      <c r="AH280" s="304">
        <f t="shared" ca="1" si="144"/>
        <v>-0.96568875999114523</v>
      </c>
    </row>
    <row r="281" spans="1:34" x14ac:dyDescent="0.2">
      <c r="A281" s="347">
        <f t="shared" ca="1" si="122"/>
        <v>0.1</v>
      </c>
      <c r="B281" s="304">
        <f t="shared" ca="1" si="123"/>
        <v>20.400000000000006</v>
      </c>
      <c r="D281" s="306">
        <f t="shared" ca="1" si="124"/>
        <v>-0.44545824523226574</v>
      </c>
      <c r="E281" s="307">
        <f t="shared" ca="1" si="125"/>
        <v>-10.611213725410112</v>
      </c>
      <c r="F281" s="304">
        <f t="shared" ca="1" si="126"/>
        <v>10.620559767478236</v>
      </c>
      <c r="G281" s="306">
        <f t="shared" ca="1" si="127"/>
        <v>17.711052189375515</v>
      </c>
      <c r="H281" s="307">
        <f t="shared" ca="1" si="128"/>
        <v>30.874596472759194</v>
      </c>
      <c r="I281" s="304">
        <f t="shared" ca="1" si="129"/>
        <v>35.593848864803839</v>
      </c>
      <c r="J281" s="306">
        <f t="shared" ca="1" si="130"/>
        <v>473.31468056076255</v>
      </c>
      <c r="K281" s="307">
        <f t="shared" ca="1" si="131"/>
        <v>2925.4399659610422</v>
      </c>
      <c r="L281" s="304">
        <f t="shared" ca="1" si="116"/>
        <v>2963.4820366043186</v>
      </c>
      <c r="M281" s="306">
        <f t="shared" ca="1" si="132"/>
        <v>1.0499811007067634</v>
      </c>
      <c r="N281" s="304">
        <f t="shared" ca="1" si="133"/>
        <v>60.159485638998206</v>
      </c>
      <c r="P281" s="310">
        <f t="shared" ca="1" si="134"/>
        <v>23</v>
      </c>
      <c r="Q281" s="304">
        <f t="shared" ca="1" si="135"/>
        <v>0</v>
      </c>
      <c r="R281" s="306">
        <f t="shared" ca="1" si="136"/>
        <v>0</v>
      </c>
      <c r="S281" s="307">
        <f t="shared" ca="1" si="137"/>
        <v>1.7842999999999964</v>
      </c>
      <c r="T281" s="304">
        <f t="shared" ca="1" si="117"/>
        <v>17.503982999999966</v>
      </c>
      <c r="U281" s="311">
        <f t="shared" ca="1" si="118"/>
        <v>0</v>
      </c>
      <c r="V281" s="306">
        <f t="shared" ca="1" si="119"/>
        <v>0.91236356086311221</v>
      </c>
      <c r="W281" s="304">
        <f t="shared" ca="1" si="120"/>
        <v>1.551618184416089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2925.4399659610422</v>
      </c>
      <c r="AG281" s="306">
        <f t="shared" ca="1" si="143"/>
        <v>-9.4906605585142039</v>
      </c>
      <c r="AH281" s="304">
        <f t="shared" ca="1" si="144"/>
        <v>-0.91672050376925607</v>
      </c>
    </row>
    <row r="282" spans="1:34" x14ac:dyDescent="0.2">
      <c r="A282" s="347">
        <f t="shared" ca="1" si="122"/>
        <v>0.1</v>
      </c>
      <c r="B282" s="304">
        <f t="shared" ca="1" si="123"/>
        <v>20.500000000000007</v>
      </c>
      <c r="D282" s="306">
        <f t="shared" ca="1" si="124"/>
        <v>-0.43269950263467216</v>
      </c>
      <c r="E282" s="307">
        <f t="shared" ca="1" si="125"/>
        <v>-10.564298637650854</v>
      </c>
      <c r="F282" s="304">
        <f t="shared" ca="1" si="126"/>
        <v>10.573156319900505</v>
      </c>
      <c r="G282" s="306">
        <f t="shared" ca="1" si="127"/>
        <v>17.667782239112046</v>
      </c>
      <c r="H282" s="307">
        <f t="shared" ca="1" si="128"/>
        <v>29.818166608994108</v>
      </c>
      <c r="I282" s="304">
        <f t="shared" ca="1" si="129"/>
        <v>34.65939395272823</v>
      </c>
      <c r="J282" s="306">
        <f t="shared" ca="1" si="130"/>
        <v>475.08362228218692</v>
      </c>
      <c r="K282" s="307">
        <f t="shared" ca="1" si="131"/>
        <v>2928.4746041151298</v>
      </c>
      <c r="L282" s="304">
        <f t="shared" ca="1" si="116"/>
        <v>2966.760515294086</v>
      </c>
      <c r="M282" s="306">
        <f t="shared" ca="1" si="132"/>
        <v>1.0358969127610687</v>
      </c>
      <c r="N282" s="304">
        <f t="shared" ca="1" si="133"/>
        <v>59.352521111840865</v>
      </c>
      <c r="P282" s="310">
        <f t="shared" ca="1" si="134"/>
        <v>23</v>
      </c>
      <c r="Q282" s="304">
        <f t="shared" ca="1" si="135"/>
        <v>0</v>
      </c>
      <c r="R282" s="306">
        <f t="shared" ca="1" si="136"/>
        <v>0</v>
      </c>
      <c r="S282" s="307">
        <f t="shared" ca="1" si="137"/>
        <v>1.7842999999999964</v>
      </c>
      <c r="T282" s="304">
        <f t="shared" ca="1" si="117"/>
        <v>17.503982999999966</v>
      </c>
      <c r="U282" s="311">
        <f t="shared" ca="1" si="118"/>
        <v>0</v>
      </c>
      <c r="V282" s="306">
        <f t="shared" ca="1" si="119"/>
        <v>0.91208067571166018</v>
      </c>
      <c r="W282" s="304">
        <f t="shared" ca="1" si="120"/>
        <v>1.4707613495072196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2928.4746041151298</v>
      </c>
      <c r="AG282" s="306">
        <f t="shared" ca="1" si="143"/>
        <v>-9.3789244932927573</v>
      </c>
      <c r="AH282" s="304">
        <f t="shared" ca="1" si="144"/>
        <v>-0.86959490243574067</v>
      </c>
    </row>
    <row r="283" spans="1:34" x14ac:dyDescent="0.2">
      <c r="A283" s="347">
        <f t="shared" ca="1" si="122"/>
        <v>0.1</v>
      </c>
      <c r="B283" s="304">
        <f t="shared" ca="1" si="123"/>
        <v>20.600000000000009</v>
      </c>
      <c r="D283" s="306">
        <f t="shared" ca="1" si="124"/>
        <v>-0.42018002858967873</v>
      </c>
      <c r="E283" s="307">
        <f t="shared" ca="1" si="125"/>
        <v>-10.51914379228214</v>
      </c>
      <c r="F283" s="304">
        <f t="shared" ca="1" si="126"/>
        <v>10.527532349944764</v>
      </c>
      <c r="G283" s="306">
        <f t="shared" ca="1" si="127"/>
        <v>17.62576423625308</v>
      </c>
      <c r="H283" s="307">
        <f t="shared" ca="1" si="128"/>
        <v>28.766252229765893</v>
      </c>
      <c r="I283" s="304">
        <f t="shared" ca="1" si="129"/>
        <v>33.736698597498972</v>
      </c>
      <c r="J283" s="306">
        <f t="shared" ca="1" si="130"/>
        <v>476.84829960595516</v>
      </c>
      <c r="K283" s="307">
        <f t="shared" ca="1" si="131"/>
        <v>2931.4038250570679</v>
      </c>
      <c r="L283" s="304">
        <f t="shared" ca="1" si="116"/>
        <v>2969.934794973839</v>
      </c>
      <c r="M283" s="306">
        <f t="shared" ca="1" si="132"/>
        <v>1.0210736637531781</v>
      </c>
      <c r="N283" s="304">
        <f t="shared" ca="1" si="133"/>
        <v>58.503211505017248</v>
      </c>
      <c r="P283" s="310">
        <f t="shared" ca="1" si="134"/>
        <v>23</v>
      </c>
      <c r="Q283" s="304">
        <f t="shared" ca="1" si="135"/>
        <v>0</v>
      </c>
      <c r="R283" s="306">
        <f t="shared" ca="1" si="136"/>
        <v>0</v>
      </c>
      <c r="S283" s="307">
        <f t="shared" ca="1" si="137"/>
        <v>1.7842999999999964</v>
      </c>
      <c r="T283" s="304">
        <f t="shared" ca="1" si="117"/>
        <v>17.503982999999966</v>
      </c>
      <c r="U283" s="311">
        <f t="shared" ca="1" si="118"/>
        <v>0</v>
      </c>
      <c r="V283" s="306">
        <f t="shared" ca="1" si="119"/>
        <v>0.9118076884354489</v>
      </c>
      <c r="W283" s="304">
        <f t="shared" ca="1" si="120"/>
        <v>1.393078011584876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2931.4038250570679</v>
      </c>
      <c r="AG283" s="306">
        <f t="shared" ca="1" si="143"/>
        <v>-9.2640174801240835</v>
      </c>
      <c r="AH283" s="304">
        <f t="shared" ca="1" si="144"/>
        <v>-0.82427918483843665</v>
      </c>
    </row>
    <row r="284" spans="1:34" x14ac:dyDescent="0.2">
      <c r="A284" s="347">
        <f t="shared" ca="1" si="122"/>
        <v>0.1</v>
      </c>
      <c r="B284" s="304">
        <f t="shared" ca="1" si="123"/>
        <v>20.70000000000001</v>
      </c>
      <c r="D284" s="306">
        <f t="shared" ca="1" si="124"/>
        <v>-0.40789927870372111</v>
      </c>
      <c r="E284" s="307">
        <f t="shared" ca="1" si="125"/>
        <v>-10.475714880685661</v>
      </c>
      <c r="F284" s="304">
        <f t="shared" ca="1" si="126"/>
        <v>10.483653184028267</v>
      </c>
      <c r="G284" s="306">
        <f t="shared" ca="1" si="127"/>
        <v>17.584974308382709</v>
      </c>
      <c r="H284" s="307">
        <f t="shared" ca="1" si="128"/>
        <v>27.718680741697327</v>
      </c>
      <c r="I284" s="304">
        <f t="shared" ca="1" si="129"/>
        <v>32.826157001492298</v>
      </c>
      <c r="J284" s="306">
        <f t="shared" ca="1" si="130"/>
        <v>478.60883653318695</v>
      </c>
      <c r="K284" s="307">
        <f t="shared" ca="1" si="131"/>
        <v>2934.228071705641</v>
      </c>
      <c r="L284" s="304">
        <f t="shared" ca="1" si="116"/>
        <v>2973.0053473199564</v>
      </c>
      <c r="M284" s="306">
        <f t="shared" ca="1" si="132"/>
        <v>1.005459742413839</v>
      </c>
      <c r="N284" s="304">
        <f t="shared" ca="1" si="133"/>
        <v>57.608599710623864</v>
      </c>
      <c r="P284" s="310">
        <f t="shared" ca="1" si="134"/>
        <v>23</v>
      </c>
      <c r="Q284" s="304">
        <f t="shared" ca="1" si="135"/>
        <v>0</v>
      </c>
      <c r="R284" s="306">
        <f t="shared" ca="1" si="136"/>
        <v>0</v>
      </c>
      <c r="S284" s="307">
        <f t="shared" ca="1" si="137"/>
        <v>1.7842999999999964</v>
      </c>
      <c r="T284" s="304">
        <f t="shared" ca="1" si="117"/>
        <v>17.503982999999966</v>
      </c>
      <c r="U284" s="311">
        <f t="shared" ca="1" si="118"/>
        <v>0</v>
      </c>
      <c r="V284" s="306">
        <f t="shared" ca="1" si="119"/>
        <v>0.91154455021541181</v>
      </c>
      <c r="W284" s="304">
        <f t="shared" ca="1" si="120"/>
        <v>1.3185147989316979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2934.228071705641</v>
      </c>
      <c r="AG284" s="306">
        <f t="shared" ca="1" si="143"/>
        <v>-9.1454293363002073</v>
      </c>
      <c r="AH284" s="304">
        <f t="shared" ca="1" si="144"/>
        <v>-0.78074203417860155</v>
      </c>
    </row>
    <row r="285" spans="1:34" x14ac:dyDescent="0.2">
      <c r="A285" s="347">
        <f t="shared" ca="1" si="122"/>
        <v>0.1</v>
      </c>
      <c r="B285" s="304">
        <f t="shared" ca="1" si="123"/>
        <v>20.800000000000011</v>
      </c>
      <c r="D285" s="306">
        <f t="shared" ca="1" si="124"/>
        <v>-0.39585745571298037</v>
      </c>
      <c r="E285" s="307">
        <f t="shared" ca="1" si="125"/>
        <v>-10.433978530858477</v>
      </c>
      <c r="F285" s="304">
        <f t="shared" ca="1" si="126"/>
        <v>10.441485100676971</v>
      </c>
      <c r="G285" s="306">
        <f t="shared" ca="1" si="127"/>
        <v>17.545388562811411</v>
      </c>
      <c r="H285" s="307">
        <f t="shared" ca="1" si="128"/>
        <v>26.675282888611481</v>
      </c>
      <c r="I285" s="304">
        <f t="shared" ca="1" si="129"/>
        <v>31.928222265066402</v>
      </c>
      <c r="J285" s="306">
        <f t="shared" ca="1" si="130"/>
        <v>480.36535467674668</v>
      </c>
      <c r="K285" s="307">
        <f t="shared" ca="1" si="131"/>
        <v>2936.9477698871565</v>
      </c>
      <c r="L285" s="304">
        <f t="shared" ca="1" si="116"/>
        <v>2975.9726270614215</v>
      </c>
      <c r="M285" s="306">
        <f t="shared" ca="1" si="132"/>
        <v>0.98899952464976226</v>
      </c>
      <c r="N285" s="304">
        <f t="shared" ca="1" si="133"/>
        <v>56.665498702876008</v>
      </c>
      <c r="P285" s="310">
        <f t="shared" ca="1" si="134"/>
        <v>23</v>
      </c>
      <c r="Q285" s="304">
        <f t="shared" ca="1" si="135"/>
        <v>0</v>
      </c>
      <c r="R285" s="306">
        <f t="shared" ca="1" si="136"/>
        <v>0</v>
      </c>
      <c r="S285" s="307">
        <f t="shared" ca="1" si="137"/>
        <v>1.7842999999999964</v>
      </c>
      <c r="T285" s="304">
        <f t="shared" ca="1" si="117"/>
        <v>17.503982999999966</v>
      </c>
      <c r="U285" s="311">
        <f t="shared" ca="1" si="118"/>
        <v>0</v>
      </c>
      <c r="V285" s="306">
        <f t="shared" ca="1" si="119"/>
        <v>0.9112912141400874</v>
      </c>
      <c r="W285" s="304">
        <f t="shared" ca="1" si="120"/>
        <v>1.2470207626920962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2936.9477698871565</v>
      </c>
      <c r="AG285" s="306">
        <f t="shared" ca="1" si="143"/>
        <v>-9.0225993538512661</v>
      </c>
      <c r="AH285" s="304">
        <f t="shared" ca="1" si="144"/>
        <v>-0.73895353860432689</v>
      </c>
    </row>
    <row r="286" spans="1:34" x14ac:dyDescent="0.2">
      <c r="A286" s="347">
        <f t="shared" ca="1" si="122"/>
        <v>0.1</v>
      </c>
      <c r="B286" s="304">
        <f t="shared" ca="1" si="123"/>
        <v>20.900000000000013</v>
      </c>
      <c r="D286" s="306">
        <f t="shared" ca="1" si="124"/>
        <v>-0.3840555641633594</v>
      </c>
      <c r="E286" s="307">
        <f t="shared" ca="1" si="125"/>
        <v>-10.393902190728189</v>
      </c>
      <c r="F286" s="304">
        <f t="shared" ca="1" si="126"/>
        <v>10.400995213285558</v>
      </c>
      <c r="G286" s="306">
        <f t="shared" ca="1" si="127"/>
        <v>17.506983006395075</v>
      </c>
      <c r="H286" s="307">
        <f t="shared" ca="1" si="128"/>
        <v>25.635892669538663</v>
      </c>
      <c r="I286" s="304">
        <f t="shared" ca="1" si="129"/>
        <v>31.043412295530789</v>
      </c>
      <c r="J286" s="306">
        <f t="shared" ca="1" si="130"/>
        <v>482.117973255207</v>
      </c>
      <c r="K286" s="307">
        <f t="shared" ca="1" si="131"/>
        <v>2939.5633286650641</v>
      </c>
      <c r="L286" s="304">
        <f t="shared" ca="1" si="116"/>
        <v>2978.8370723099542</v>
      </c>
      <c r="M286" s="306">
        <f t="shared" ca="1" si="132"/>
        <v>0.97163313115796157</v>
      </c>
      <c r="N286" s="304">
        <f t="shared" ca="1" si="133"/>
        <v>55.670477650432368</v>
      </c>
      <c r="P286" s="310">
        <f t="shared" ca="1" si="134"/>
        <v>23</v>
      </c>
      <c r="Q286" s="304">
        <f t="shared" ca="1" si="135"/>
        <v>0</v>
      </c>
      <c r="R286" s="306">
        <f t="shared" ca="1" si="136"/>
        <v>0</v>
      </c>
      <c r="S286" s="307">
        <f t="shared" ca="1" si="137"/>
        <v>1.7842999999999964</v>
      </c>
      <c r="T286" s="304">
        <f t="shared" ca="1" si="117"/>
        <v>17.503982999999966</v>
      </c>
      <c r="U286" s="311">
        <f t="shared" ca="1" si="118"/>
        <v>0</v>
      </c>
      <c r="V286" s="306">
        <f t="shared" ca="1" si="119"/>
        <v>0.91104763516880305</v>
      </c>
      <c r="W286" s="304">
        <f t="shared" ca="1" si="120"/>
        <v>1.1785472967760047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2939.5633286650641</v>
      </c>
      <c r="AG286" s="306">
        <f t="shared" ca="1" si="143"/>
        <v>-8.8949106843295862</v>
      </c>
      <c r="AH286" s="304">
        <f t="shared" ca="1" si="144"/>
        <v>-0.69888514414173553</v>
      </c>
    </row>
    <row r="287" spans="1:34" x14ac:dyDescent="0.2">
      <c r="A287" s="347">
        <f t="shared" ca="1" si="122"/>
        <v>0.1</v>
      </c>
      <c r="B287" s="304">
        <f t="shared" ca="1" si="123"/>
        <v>21.000000000000014</v>
      </c>
      <c r="D287" s="306">
        <f t="shared" ca="1" si="124"/>
        <v>-0.37249547196494298</v>
      </c>
      <c r="E287" s="307">
        <f t="shared" ca="1" si="125"/>
        <v>-10.355454001737147</v>
      </c>
      <c r="F287" s="304">
        <f t="shared" ca="1" si="126"/>
        <v>10.362151343168478</v>
      </c>
      <c r="G287" s="306">
        <f t="shared" ca="1" si="127"/>
        <v>17.469733459198579</v>
      </c>
      <c r="H287" s="307">
        <f t="shared" ca="1" si="128"/>
        <v>24.600347269364949</v>
      </c>
      <c r="I287" s="304">
        <f t="shared" ca="1" si="129"/>
        <v>30.172316333168624</v>
      </c>
      <c r="J287" s="306">
        <f t="shared" ca="1" si="130"/>
        <v>483.86680907848671</v>
      </c>
      <c r="K287" s="307">
        <f t="shared" ca="1" si="131"/>
        <v>2942.0751406620093</v>
      </c>
      <c r="L287" s="304">
        <f t="shared" ca="1" si="116"/>
        <v>2981.5991048813348</v>
      </c>
      <c r="M287" s="306">
        <f t="shared" ca="1" si="132"/>
        <v>0.9532962043840032</v>
      </c>
      <c r="N287" s="304">
        <f t="shared" ca="1" si="133"/>
        <v>54.619849137044106</v>
      </c>
      <c r="P287" s="310">
        <f t="shared" ca="1" si="134"/>
        <v>23</v>
      </c>
      <c r="Q287" s="304">
        <f t="shared" ca="1" si="135"/>
        <v>0</v>
      </c>
      <c r="R287" s="306">
        <f t="shared" ca="1" si="136"/>
        <v>0</v>
      </c>
      <c r="S287" s="307">
        <f t="shared" ca="1" si="137"/>
        <v>1.7842999999999964</v>
      </c>
      <c r="T287" s="304">
        <f t="shared" ca="1" si="117"/>
        <v>17.503982999999966</v>
      </c>
      <c r="U287" s="311">
        <f t="shared" ca="1" si="118"/>
        <v>0</v>
      </c>
      <c r="V287" s="306">
        <f t="shared" ca="1" si="119"/>
        <v>0.91081377009586717</v>
      </c>
      <c r="W287" s="304">
        <f t="shared" ca="1" si="120"/>
        <v>1.1130480613715374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>
        <f t="shared" ca="1" si="141"/>
        <v>21.000000000000014</v>
      </c>
      <c r="AD287" s="323">
        <f t="shared" ca="1" si="142"/>
        <v>483.86680907848671</v>
      </c>
      <c r="AE287" s="324">
        <f t="shared" ca="1" si="121"/>
        <v>2942.0751406620093</v>
      </c>
      <c r="AG287" s="306">
        <f t="shared" ca="1" si="143"/>
        <v>-8.7616843355098997</v>
      </c>
      <c r="AH287" s="304">
        <f t="shared" ca="1" si="144"/>
        <v>-0.66050960980552986</v>
      </c>
    </row>
    <row r="288" spans="1:34" x14ac:dyDescent="0.2">
      <c r="A288" s="347">
        <f t="shared" ca="1" si="122"/>
        <v>0.1</v>
      </c>
      <c r="B288" s="304">
        <f t="shared" ca="1" si="123"/>
        <v>21.100000000000016</v>
      </c>
      <c r="D288" s="306">
        <f t="shared" ca="1" si="124"/>
        <v>-0.36117997919441819</v>
      </c>
      <c r="E288" s="307">
        <f t="shared" ca="1" si="125"/>
        <v>-10.318602660462817</v>
      </c>
      <c r="F288" s="304">
        <f t="shared" ca="1" si="126"/>
        <v>10.324921880667244</v>
      </c>
      <c r="G288" s="306">
        <f t="shared" ca="1" si="127"/>
        <v>17.433615461279139</v>
      </c>
      <c r="H288" s="307">
        <f t="shared" ca="1" si="128"/>
        <v>23.568487003318669</v>
      </c>
      <c r="I288" s="304">
        <f t="shared" ca="1" si="129"/>
        <v>29.315602120327529</v>
      </c>
      <c r="J288" s="306">
        <f t="shared" ca="1" si="130"/>
        <v>485.61197652451062</v>
      </c>
      <c r="K288" s="307">
        <f t="shared" ca="1" si="131"/>
        <v>2944.4835823756434</v>
      </c>
      <c r="L288" s="304">
        <f t="shared" ca="1" si="116"/>
        <v>2984.259130609094</v>
      </c>
      <c r="M288" s="306">
        <f t="shared" ca="1" si="132"/>
        <v>0.93391971960851516</v>
      </c>
      <c r="N288" s="304">
        <f t="shared" ca="1" si="133"/>
        <v>53.509658337609153</v>
      </c>
      <c r="P288" s="310">
        <f t="shared" ca="1" si="134"/>
        <v>23</v>
      </c>
      <c r="Q288" s="304">
        <f t="shared" ca="1" si="135"/>
        <v>0</v>
      </c>
      <c r="R288" s="306">
        <f t="shared" ca="1" si="136"/>
        <v>0</v>
      </c>
      <c r="S288" s="307">
        <f t="shared" ca="1" si="137"/>
        <v>1.7842999999999964</v>
      </c>
      <c r="T288" s="304">
        <f t="shared" ca="1" si="117"/>
        <v>17.503982999999966</v>
      </c>
      <c r="U288" s="311">
        <f t="shared" ca="1" si="118"/>
        <v>0</v>
      </c>
      <c r="V288" s="306">
        <f t="shared" ca="1" si="119"/>
        <v>0.91058957751563396</v>
      </c>
      <c r="W288" s="304">
        <f t="shared" ca="1" si="120"/>
        <v>1.050478909786938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2944.4835823756434</v>
      </c>
      <c r="AG288" s="306">
        <f t="shared" ca="1" si="143"/>
        <v>-8.622172851320606</v>
      </c>
      <c r="AH288" s="304">
        <f t="shared" ca="1" si="144"/>
        <v>-0.62380096473213009</v>
      </c>
    </row>
    <row r="289" spans="1:34" x14ac:dyDescent="0.2">
      <c r="A289" s="347">
        <f t="shared" ca="1" si="122"/>
        <v>0.1</v>
      </c>
      <c r="B289" s="304">
        <f t="shared" ca="1" si="123"/>
        <v>21.200000000000017</v>
      </c>
      <c r="D289" s="306">
        <f t="shared" ca="1" si="124"/>
        <v>-0.35011289440572163</v>
      </c>
      <c r="E289" s="307">
        <f t="shared" ca="1" si="125"/>
        <v>-10.283317265705602</v>
      </c>
      <c r="F289" s="304">
        <f t="shared" ca="1" si="126"/>
        <v>10.289275631743378</v>
      </c>
      <c r="G289" s="306">
        <f t="shared" ca="1" si="127"/>
        <v>17.398604171838567</v>
      </c>
      <c r="H289" s="307">
        <f t="shared" ca="1" si="128"/>
        <v>22.540155276748109</v>
      </c>
      <c r="I289" s="304">
        <f t="shared" ca="1" si="129"/>
        <v>28.474023723882688</v>
      </c>
      <c r="J289" s="306">
        <f t="shared" ca="1" si="130"/>
        <v>487.35358750616649</v>
      </c>
      <c r="K289" s="307">
        <f t="shared" ca="1" si="131"/>
        <v>2946.7890144896469</v>
      </c>
      <c r="L289" s="304">
        <f t="shared" ca="1" si="116"/>
        <v>2986.8175396518609</v>
      </c>
      <c r="M289" s="306">
        <f t="shared" ca="1" si="132"/>
        <v>0.91342984986234987</v>
      </c>
      <c r="N289" s="304">
        <f t="shared" ca="1" si="133"/>
        <v>52.335675278381089</v>
      </c>
      <c r="P289" s="310">
        <f t="shared" ca="1" si="134"/>
        <v>23</v>
      </c>
      <c r="Q289" s="304">
        <f t="shared" ca="1" si="135"/>
        <v>0</v>
      </c>
      <c r="R289" s="306">
        <f t="shared" ca="1" si="136"/>
        <v>0</v>
      </c>
      <c r="S289" s="307">
        <f t="shared" ca="1" si="137"/>
        <v>1.7842999999999964</v>
      </c>
      <c r="T289" s="304">
        <f t="shared" ca="1" si="117"/>
        <v>17.503982999999966</v>
      </c>
      <c r="U289" s="311">
        <f t="shared" ca="1" si="118"/>
        <v>0</v>
      </c>
      <c r="V289" s="306">
        <f t="shared" ca="1" si="119"/>
        <v>0.91037501778829144</v>
      </c>
      <c r="W289" s="304">
        <f t="shared" ca="1" si="120"/>
        <v>0.99079781833937219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2946.7890144896469</v>
      </c>
      <c r="AG289" s="306">
        <f t="shared" ca="1" si="143"/>
        <v>-8.4755537981804796</v>
      </c>
      <c r="AH289" s="304">
        <f t="shared" ca="1" si="144"/>
        <v>-0.58873446717869204</v>
      </c>
    </row>
    <row r="290" spans="1:34" x14ac:dyDescent="0.2">
      <c r="A290" s="347">
        <f t="shared" ca="1" si="122"/>
        <v>0.1</v>
      </c>
      <c r="B290" s="304">
        <f t="shared" ca="1" si="123"/>
        <v>21.300000000000018</v>
      </c>
      <c r="D290" s="306">
        <f t="shared" ca="1" si="124"/>
        <v>-0.33929911852493794</v>
      </c>
      <c r="E290" s="307">
        <f t="shared" ca="1" si="125"/>
        <v>-10.2495671481046</v>
      </c>
      <c r="F290" s="304">
        <f t="shared" ca="1" si="126"/>
        <v>10.255181647115611</v>
      </c>
      <c r="G290" s="306">
        <f t="shared" ca="1" si="127"/>
        <v>17.364674259986074</v>
      </c>
      <c r="H290" s="307">
        <f t="shared" ca="1" si="128"/>
        <v>21.515198561937648</v>
      </c>
      <c r="I290" s="304">
        <f t="shared" ca="1" si="129"/>
        <v>27.648429997289661</v>
      </c>
      <c r="J290" s="306">
        <f t="shared" ca="1" si="130"/>
        <v>489.09175142775774</v>
      </c>
      <c r="K290" s="307">
        <f t="shared" ca="1" si="131"/>
        <v>2948.9917821815811</v>
      </c>
      <c r="L290" s="304">
        <f t="shared" ca="1" si="116"/>
        <v>2989.2747067958089</v>
      </c>
      <c r="M290" s="306">
        <f t="shared" ca="1" si="132"/>
        <v>0.89174791050254898</v>
      </c>
      <c r="N290" s="304">
        <f t="shared" ca="1" si="133"/>
        <v>51.093391661405917</v>
      </c>
      <c r="P290" s="310">
        <f t="shared" ca="1" si="134"/>
        <v>23</v>
      </c>
      <c r="Q290" s="304">
        <f t="shared" ca="1" si="135"/>
        <v>0</v>
      </c>
      <c r="R290" s="306">
        <f t="shared" ca="1" si="136"/>
        <v>0</v>
      </c>
      <c r="S290" s="307">
        <f t="shared" ca="1" si="137"/>
        <v>1.7842999999999964</v>
      </c>
      <c r="T290" s="304">
        <f t="shared" ca="1" si="117"/>
        <v>17.503982999999966</v>
      </c>
      <c r="U290" s="311">
        <f t="shared" ca="1" si="118"/>
        <v>0</v>
      </c>
      <c r="V290" s="306">
        <f t="shared" ca="1" si="119"/>
        <v>0.91017005300622211</v>
      </c>
      <c r="W290" s="304">
        <f t="shared" ca="1" si="120"/>
        <v>0.93396481900187156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2948.9917821815811</v>
      </c>
      <c r="AG290" s="306">
        <f t="shared" ca="1" si="143"/>
        <v>-8.3209232525179466</v>
      </c>
      <c r="AH290" s="304">
        <f t="shared" ca="1" si="144"/>
        <v>-0.55528656522971143</v>
      </c>
    </row>
    <row r="291" spans="1:34" x14ac:dyDescent="0.2">
      <c r="A291" s="347">
        <f t="shared" ca="1" si="122"/>
        <v>0.1</v>
      </c>
      <c r="B291" s="304">
        <f t="shared" ca="1" si="123"/>
        <v>21.40000000000002</v>
      </c>
      <c r="D291" s="306">
        <f t="shared" ca="1" si="124"/>
        <v>-0.32874473612446875</v>
      </c>
      <c r="E291" s="307">
        <f t="shared" ca="1" si="125"/>
        <v>-10.217321678944954</v>
      </c>
      <c r="F291" s="304">
        <f t="shared" ca="1" si="126"/>
        <v>10.222609030603101</v>
      </c>
      <c r="G291" s="306">
        <f t="shared" ca="1" si="127"/>
        <v>17.331799786373626</v>
      </c>
      <c r="H291" s="307">
        <f t="shared" ca="1" si="128"/>
        <v>20.493466394043153</v>
      </c>
      <c r="I291" s="304">
        <f t="shared" ca="1" si="129"/>
        <v>26.839773633149683</v>
      </c>
      <c r="J291" s="306">
        <f t="shared" ca="1" si="130"/>
        <v>490.82657513007575</v>
      </c>
      <c r="K291" s="307">
        <f t="shared" ca="1" si="131"/>
        <v>2951.0922154293803</v>
      </c>
      <c r="L291" s="304">
        <f t="shared" ca="1" si="116"/>
        <v>2991.6309917537974</v>
      </c>
      <c r="M291" s="306">
        <f t="shared" ca="1" si="132"/>
        <v>0.86879041679083258</v>
      </c>
      <c r="N291" s="304">
        <f t="shared" ca="1" si="133"/>
        <v>49.778024163526439</v>
      </c>
      <c r="P291" s="310">
        <f t="shared" ca="1" si="134"/>
        <v>23</v>
      </c>
      <c r="Q291" s="304">
        <f t="shared" ca="1" si="135"/>
        <v>0</v>
      </c>
      <c r="R291" s="306">
        <f t="shared" ca="1" si="136"/>
        <v>0</v>
      </c>
      <c r="S291" s="307">
        <f t="shared" ca="1" si="137"/>
        <v>1.7842999999999964</v>
      </c>
      <c r="T291" s="304">
        <f t="shared" ca="1" si="117"/>
        <v>17.503982999999966</v>
      </c>
      <c r="U291" s="311">
        <f t="shared" ca="1" si="118"/>
        <v>0</v>
      </c>
      <c r="V291" s="306">
        <f t="shared" ca="1" si="119"/>
        <v>0.90997464696075181</v>
      </c>
      <c r="W291" s="304">
        <f t="shared" ca="1" si="120"/>
        <v>0.87994193450989222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2951.0922154293803</v>
      </c>
      <c r="AG291" s="306">
        <f t="shared" ca="1" si="143"/>
        <v>-8.1572895811185777</v>
      </c>
      <c r="AH291" s="304">
        <f t="shared" ca="1" si="144"/>
        <v>-0.52343485904941622</v>
      </c>
    </row>
    <row r="292" spans="1:34" x14ac:dyDescent="0.2">
      <c r="A292" s="347">
        <f t="shared" ca="1" si="122"/>
        <v>0.1</v>
      </c>
      <c r="B292" s="304">
        <f t="shared" ca="1" si="123"/>
        <v>21.500000000000021</v>
      </c>
      <c r="D292" s="306">
        <f t="shared" ca="1" si="124"/>
        <v>-0.31845711346133554</v>
      </c>
      <c r="E292" s="307">
        <f t="shared" ca="1" si="125"/>
        <v>-10.186550054414711</v>
      </c>
      <c r="F292" s="304">
        <f t="shared" ca="1" si="126"/>
        <v>10.191526722930696</v>
      </c>
      <c r="G292" s="306">
        <f t="shared" ca="1" si="127"/>
        <v>17.299954075027493</v>
      </c>
      <c r="H292" s="307">
        <f t="shared" ca="1" si="128"/>
        <v>19.474811388601683</v>
      </c>
      <c r="I292" s="304">
        <f t="shared" ca="1" si="129"/>
        <v>26.049120707226763</v>
      </c>
      <c r="J292" s="306">
        <f t="shared" ca="1" si="130"/>
        <v>492.55816282314584</v>
      </c>
      <c r="K292" s="307">
        <f t="shared" ca="1" si="131"/>
        <v>2953.0906293185126</v>
      </c>
      <c r="L292" s="304">
        <f t="shared" ca="1" si="116"/>
        <v>2993.8867394630215</v>
      </c>
      <c r="M292" s="306">
        <f t="shared" ca="1" si="132"/>
        <v>0.84446929680536553</v>
      </c>
      <c r="N292" s="304">
        <f t="shared" ca="1" si="133"/>
        <v>48.384526635327894</v>
      </c>
      <c r="P292" s="310">
        <f t="shared" ca="1" si="134"/>
        <v>23</v>
      </c>
      <c r="Q292" s="304">
        <f t="shared" ca="1" si="135"/>
        <v>0</v>
      </c>
      <c r="R292" s="306">
        <f t="shared" ca="1" si="136"/>
        <v>0</v>
      </c>
      <c r="S292" s="307">
        <f t="shared" ca="1" si="137"/>
        <v>1.7842999999999964</v>
      </c>
      <c r="T292" s="304">
        <f t="shared" ca="1" si="117"/>
        <v>17.503982999999966</v>
      </c>
      <c r="U292" s="311">
        <f t="shared" ca="1" si="118"/>
        <v>0</v>
      </c>
      <c r="V292" s="306">
        <f t="shared" ca="1" si="119"/>
        <v>0.9097887651090949</v>
      </c>
      <c r="W292" s="304">
        <f t="shared" ca="1" si="120"/>
        <v>0.82869311561504366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2953.0906293185126</v>
      </c>
      <c r="AG292" s="306">
        <f t="shared" ca="1" si="143"/>
        <v>-7.9835679343357775</v>
      </c>
      <c r="AH292" s="304">
        <f t="shared" ca="1" si="144"/>
        <v>-0.49315806451263461</v>
      </c>
    </row>
    <row r="293" spans="1:34" x14ac:dyDescent="0.2">
      <c r="A293" s="347">
        <f t="shared" ca="1" si="122"/>
        <v>0.1</v>
      </c>
      <c r="B293" s="304">
        <f t="shared" ca="1" si="123"/>
        <v>21.600000000000023</v>
      </c>
      <c r="D293" s="306">
        <f t="shared" ca="1" si="124"/>
        <v>-0.30844500208548981</v>
      </c>
      <c r="E293" s="307">
        <f t="shared" ca="1" si="125"/>
        <v>-10.157221051184335</v>
      </c>
      <c r="F293" s="304">
        <f t="shared" ca="1" si="126"/>
        <v>10.161903256867472</v>
      </c>
      <c r="G293" s="306">
        <f t="shared" ca="1" si="127"/>
        <v>17.269109574818945</v>
      </c>
      <c r="H293" s="307">
        <f t="shared" ca="1" si="128"/>
        <v>18.459089283483248</v>
      </c>
      <c r="I293" s="304">
        <f t="shared" ca="1" si="129"/>
        <v>25.277660546077229</v>
      </c>
      <c r="J293" s="306">
        <f t="shared" ca="1" si="130"/>
        <v>494.28661600563817</v>
      </c>
      <c r="K293" s="307">
        <f t="shared" ca="1" si="131"/>
        <v>2954.987324352117</v>
      </c>
      <c r="L293" s="304">
        <f t="shared" ca="1" si="116"/>
        <v>2996.0422803832375</v>
      </c>
      <c r="M293" s="306">
        <f t="shared" ca="1" si="132"/>
        <v>0.81869231245990326</v>
      </c>
      <c r="N293" s="304">
        <f t="shared" ca="1" si="133"/>
        <v>46.907614223758117</v>
      </c>
      <c r="P293" s="310">
        <f t="shared" ca="1" si="134"/>
        <v>23</v>
      </c>
      <c r="Q293" s="304">
        <f t="shared" ca="1" si="135"/>
        <v>0</v>
      </c>
      <c r="R293" s="306">
        <f t="shared" ca="1" si="136"/>
        <v>0</v>
      </c>
      <c r="S293" s="307">
        <f t="shared" ca="1" si="137"/>
        <v>1.7842999999999964</v>
      </c>
      <c r="T293" s="304">
        <f t="shared" ca="1" si="117"/>
        <v>17.503982999999966</v>
      </c>
      <c r="U293" s="311">
        <f t="shared" ca="1" si="118"/>
        <v>0</v>
      </c>
      <c r="V293" s="306">
        <f t="shared" ca="1" si="119"/>
        <v>0.90961237454126875</v>
      </c>
      <c r="W293" s="304">
        <f t="shared" ca="1" si="120"/>
        <v>0.78018418015535995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2954.987324352117</v>
      </c>
      <c r="AG293" s="306">
        <f t="shared" ca="1" si="143"/>
        <v>-7.7985760386354128</v>
      </c>
      <c r="AH293" s="304">
        <f t="shared" ca="1" si="144"/>
        <v>-0.4644359780390323</v>
      </c>
    </row>
    <row r="294" spans="1:34" x14ac:dyDescent="0.2">
      <c r="A294" s="347">
        <f t="shared" ca="1" si="122"/>
        <v>0.1</v>
      </c>
      <c r="B294" s="304">
        <f t="shared" ca="1" si="123"/>
        <v>21.700000000000024</v>
      </c>
      <c r="D294" s="306">
        <f t="shared" ca="1" si="124"/>
        <v>-0.29871864602953685</v>
      </c>
      <c r="E294" s="307">
        <f t="shared" ca="1" si="125"/>
        <v>-10.129302748865571</v>
      </c>
      <c r="F294" s="304">
        <f t="shared" ca="1" si="126"/>
        <v>10.133706479253352</v>
      </c>
      <c r="G294" s="306">
        <f t="shared" ca="1" si="127"/>
        <v>17.239237710215992</v>
      </c>
      <c r="H294" s="307">
        <f t="shared" ca="1" si="128"/>
        <v>17.446159008596691</v>
      </c>
      <c r="I294" s="304">
        <f t="shared" ca="1" si="129"/>
        <v>24.52671565828928</v>
      </c>
      <c r="J294" s="306">
        <f t="shared" ca="1" si="130"/>
        <v>496.01203336988993</v>
      </c>
      <c r="K294" s="307">
        <f t="shared" ca="1" si="131"/>
        <v>2956.7825867667211</v>
      </c>
      <c r="L294" s="304">
        <f t="shared" ca="1" si="116"/>
        <v>2998.0979307978978</v>
      </c>
      <c r="M294" s="306">
        <f t="shared" ca="1" si="132"/>
        <v>0.79136375304879381</v>
      </c>
      <c r="N294" s="304">
        <f t="shared" ca="1" si="133"/>
        <v>45.341803109329021</v>
      </c>
      <c r="P294" s="310">
        <f t="shared" ca="1" si="134"/>
        <v>23</v>
      </c>
      <c r="Q294" s="304">
        <f t="shared" ca="1" si="135"/>
        <v>0</v>
      </c>
      <c r="R294" s="306">
        <f t="shared" ca="1" si="136"/>
        <v>0</v>
      </c>
      <c r="S294" s="307">
        <f t="shared" ca="1" si="137"/>
        <v>1.7842999999999964</v>
      </c>
      <c r="T294" s="304">
        <f t="shared" ca="1" si="117"/>
        <v>17.503982999999966</v>
      </c>
      <c r="U294" s="311">
        <f t="shared" ca="1" si="118"/>
        <v>0</v>
      </c>
      <c r="V294" s="306">
        <f t="shared" ca="1" si="119"/>
        <v>0.90944544394673643</v>
      </c>
      <c r="W294" s="304">
        <f t="shared" ca="1" si="120"/>
        <v>0.73438275358860194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2956.7825867667211</v>
      </c>
      <c r="AG294" s="306">
        <f t="shared" ca="1" si="143"/>
        <v>-7.6010320852609379</v>
      </c>
      <c r="AH294" s="304">
        <f t="shared" ca="1" si="144"/>
        <v>-0.43724944244541919</v>
      </c>
    </row>
    <row r="295" spans="1:34" x14ac:dyDescent="0.2">
      <c r="A295" s="347">
        <f t="shared" ca="1" si="122"/>
        <v>0.1</v>
      </c>
      <c r="B295" s="304">
        <f t="shared" ca="1" si="123"/>
        <v>21.800000000000026</v>
      </c>
      <c r="D295" s="306">
        <f t="shared" ca="1" si="124"/>
        <v>-0.28928988952942025</v>
      </c>
      <c r="E295" s="307">
        <f t="shared" ca="1" si="125"/>
        <v>-10.102762214730573</v>
      </c>
      <c r="F295" s="304">
        <f t="shared" ca="1" si="126"/>
        <v>10.106903235292783</v>
      </c>
      <c r="G295" s="306">
        <f t="shared" ca="1" si="127"/>
        <v>17.210308721263051</v>
      </c>
      <c r="H295" s="307">
        <f t="shared" ca="1" si="128"/>
        <v>16.435882787123635</v>
      </c>
      <c r="I295" s="304">
        <f t="shared" ca="1" si="129"/>
        <v>23.797751349092838</v>
      </c>
      <c r="J295" s="306">
        <f t="shared" ca="1" si="130"/>
        <v>497.73451069146387</v>
      </c>
      <c r="K295" s="307">
        <f t="shared" ca="1" si="131"/>
        <v>2958.4766888565073</v>
      </c>
      <c r="L295" s="304">
        <f t="shared" ca="1" si="116"/>
        <v>3000.0539931208959</v>
      </c>
      <c r="M295" s="306">
        <f t="shared" ca="1" si="132"/>
        <v>0.76238547795463929</v>
      </c>
      <c r="N295" s="304">
        <f t="shared" ca="1" si="133"/>
        <v>43.681470248864898</v>
      </c>
      <c r="P295" s="310">
        <f t="shared" ca="1" si="134"/>
        <v>23</v>
      </c>
      <c r="Q295" s="304">
        <f t="shared" ca="1" si="135"/>
        <v>0</v>
      </c>
      <c r="R295" s="306">
        <f t="shared" ca="1" si="136"/>
        <v>0</v>
      </c>
      <c r="S295" s="307">
        <f t="shared" ca="1" si="137"/>
        <v>1.7842999999999964</v>
      </c>
      <c r="T295" s="304">
        <f t="shared" ca="1" si="117"/>
        <v>17.503982999999966</v>
      </c>
      <c r="U295" s="311">
        <f t="shared" ca="1" si="118"/>
        <v>0</v>
      </c>
      <c r="V295" s="306">
        <f t="shared" ca="1" si="119"/>
        <v>0.9092879435804827</v>
      </c>
      <c r="W295" s="304">
        <f t="shared" ca="1" si="120"/>
        <v>0.69125821060736603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2958.4766888565073</v>
      </c>
      <c r="AG295" s="306">
        <f t="shared" ca="1" si="143"/>
        <v>-7.3895557693937599</v>
      </c>
      <c r="AH295" s="304">
        <f t="shared" ca="1" si="144"/>
        <v>-0.41158031361800335</v>
      </c>
    </row>
    <row r="296" spans="1:34" x14ac:dyDescent="0.2">
      <c r="A296" s="347">
        <f t="shared" ca="1" si="122"/>
        <v>0.1</v>
      </c>
      <c r="B296" s="304">
        <f t="shared" ca="1" si="123"/>
        <v>21.900000000000027</v>
      </c>
      <c r="D296" s="306">
        <f t="shared" ca="1" si="124"/>
        <v>-0.28017228084373108</v>
      </c>
      <c r="E296" s="307">
        <f t="shared" ca="1" si="125"/>
        <v>-10.077565146141708</v>
      </c>
      <c r="F296" s="304">
        <f t="shared" ca="1" si="126"/>
        <v>10.081459010564062</v>
      </c>
      <c r="G296" s="306">
        <f t="shared" ca="1" si="127"/>
        <v>17.182291493178678</v>
      </c>
      <c r="H296" s="307">
        <f t="shared" ca="1" si="128"/>
        <v>15.428126272509465</v>
      </c>
      <c r="I296" s="304">
        <f t="shared" ca="1" si="129"/>
        <v>23.092384485735924</v>
      </c>
      <c r="J296" s="306">
        <f t="shared" ca="1" si="130"/>
        <v>499.45414070218595</v>
      </c>
      <c r="K296" s="307">
        <f t="shared" ca="1" si="131"/>
        <v>2960.0698893094891</v>
      </c>
      <c r="L296" s="304">
        <f t="shared" ca="1" si="116"/>
        <v>3001.9107562119916</v>
      </c>
      <c r="M296" s="306">
        <f t="shared" ca="1" si="132"/>
        <v>0.73165839675037248</v>
      </c>
      <c r="N296" s="304">
        <f t="shared" ca="1" si="133"/>
        <v>41.920938179104652</v>
      </c>
      <c r="P296" s="310">
        <f t="shared" ca="1" si="134"/>
        <v>23</v>
      </c>
      <c r="Q296" s="304">
        <f t="shared" ca="1" si="135"/>
        <v>0</v>
      </c>
      <c r="R296" s="306">
        <f t="shared" ca="1" si="136"/>
        <v>0</v>
      </c>
      <c r="S296" s="307">
        <f t="shared" ca="1" si="137"/>
        <v>1.7842999999999964</v>
      </c>
      <c r="T296" s="304">
        <f t="shared" ca="1" si="117"/>
        <v>17.503982999999966</v>
      </c>
      <c r="U296" s="311">
        <f t="shared" ca="1" si="118"/>
        <v>0</v>
      </c>
      <c r="V296" s="306">
        <f t="shared" ca="1" si="119"/>
        <v>0.90913984522821722</v>
      </c>
      <c r="W296" s="304">
        <f t="shared" ca="1" si="120"/>
        <v>0.65078161742224272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2960.0698893094891</v>
      </c>
      <c r="AG296" s="306">
        <f t="shared" ca="1" si="143"/>
        <v>-7.1626738371037861</v>
      </c>
      <c r="AH296" s="304">
        <f t="shared" ca="1" si="144"/>
        <v>-0.38741142779093618</v>
      </c>
    </row>
    <row r="297" spans="1:34" x14ac:dyDescent="0.2">
      <c r="A297" s="347">
        <f t="shared" ca="1" si="122"/>
        <v>0.1</v>
      </c>
      <c r="B297" s="304">
        <f t="shared" ca="1" si="123"/>
        <v>22.000000000000028</v>
      </c>
      <c r="D297" s="306">
        <f t="shared" ca="1" si="124"/>
        <v>-0.27138116599261253</v>
      </c>
      <c r="E297" s="307">
        <f t="shared" ca="1" si="125"/>
        <v>-10.053675466603339</v>
      </c>
      <c r="F297" s="304">
        <f t="shared" ca="1" si="126"/>
        <v>10.057337526653731</v>
      </c>
      <c r="G297" s="306">
        <f t="shared" ca="1" si="127"/>
        <v>17.155153376579417</v>
      </c>
      <c r="H297" s="307">
        <f t="shared" ca="1" si="128"/>
        <v>14.42275872584913</v>
      </c>
      <c r="I297" s="304">
        <f t="shared" ca="1" si="129"/>
        <v>22.412390694390936</v>
      </c>
      <c r="J297" s="306">
        <f t="shared" ca="1" si="130"/>
        <v>501.17101294567385</v>
      </c>
      <c r="K297" s="307">
        <f t="shared" ca="1" si="131"/>
        <v>2961.5624335594071</v>
      </c>
      <c r="L297" s="304">
        <f t="shared" ca="1" si="116"/>
        <v>3003.6684957044295</v>
      </c>
      <c r="M297" s="306">
        <f t="shared" ca="1" si="132"/>
        <v>0.69908448388843714</v>
      </c>
      <c r="N297" s="304">
        <f t="shared" ca="1" si="133"/>
        <v>40.054590449888849</v>
      </c>
      <c r="P297" s="310">
        <f t="shared" ca="1" si="134"/>
        <v>23</v>
      </c>
      <c r="Q297" s="304">
        <f t="shared" ca="1" si="135"/>
        <v>0</v>
      </c>
      <c r="R297" s="306">
        <f t="shared" ca="1" si="136"/>
        <v>0</v>
      </c>
      <c r="S297" s="307">
        <f t="shared" ca="1" si="137"/>
        <v>1.7842999999999964</v>
      </c>
      <c r="T297" s="304">
        <f t="shared" ca="1" si="117"/>
        <v>17.503982999999966</v>
      </c>
      <c r="U297" s="311">
        <f t="shared" ca="1" si="118"/>
        <v>0</v>
      </c>
      <c r="V297" s="306">
        <f t="shared" ca="1" si="119"/>
        <v>0.9090011221703358</v>
      </c>
      <c r="W297" s="304">
        <f t="shared" ca="1" si="120"/>
        <v>0.6129256742621273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>
        <f t="shared" ca="1" si="141"/>
        <v>22.000000000000028</v>
      </c>
      <c r="AD297" s="323">
        <f t="shared" ca="1" si="142"/>
        <v>501.17101294567385</v>
      </c>
      <c r="AE297" s="324">
        <f t="shared" ca="1" si="121"/>
        <v>2961.5624335594071</v>
      </c>
      <c r="AG297" s="306">
        <f t="shared" ca="1" si="143"/>
        <v>-6.9188318339373458</v>
      </c>
      <c r="AH297" s="304">
        <f t="shared" ca="1" si="144"/>
        <v>-0.36472656919926244</v>
      </c>
    </row>
    <row r="298" spans="1:34" x14ac:dyDescent="0.2">
      <c r="A298" s="347">
        <f t="shared" ca="1" si="122"/>
        <v>0.1</v>
      </c>
      <c r="B298" s="304">
        <f t="shared" ca="1" si="123"/>
        <v>22.10000000000003</v>
      </c>
      <c r="D298" s="306">
        <f t="shared" ca="1" si="124"/>
        <v>-0.26293376410347835</v>
      </c>
      <c r="E298" s="307">
        <f t="shared" ca="1" si="125"/>
        <v>-10.031054872393099</v>
      </c>
      <c r="F298" s="304">
        <f t="shared" ca="1" si="126"/>
        <v>10.034500287371911</v>
      </c>
      <c r="G298" s="306">
        <f t="shared" ca="1" si="127"/>
        <v>17.12886000016907</v>
      </c>
      <c r="H298" s="307">
        <f t="shared" ca="1" si="128"/>
        <v>13.41965323860982</v>
      </c>
      <c r="I298" s="304">
        <f t="shared" ca="1" si="129"/>
        <v>21.759709050213033</v>
      </c>
      <c r="J298" s="306">
        <f t="shared" ca="1" si="130"/>
        <v>502.88521361451126</v>
      </c>
      <c r="K298" s="307">
        <f t="shared" ca="1" si="131"/>
        <v>2962.9545541576299</v>
      </c>
      <c r="L298" s="304">
        <f t="shared" ca="1" si="116"/>
        <v>3005.3274743487691</v>
      </c>
      <c r="M298" s="306">
        <f t="shared" ca="1" si="132"/>
        <v>0.66456942840881439</v>
      </c>
      <c r="N298" s="304">
        <f t="shared" ca="1" si="133"/>
        <v>38.077023441246574</v>
      </c>
      <c r="P298" s="310">
        <f t="shared" ca="1" si="134"/>
        <v>23</v>
      </c>
      <c r="Q298" s="304">
        <f t="shared" ca="1" si="135"/>
        <v>0</v>
      </c>
      <c r="R298" s="306">
        <f t="shared" ca="1" si="136"/>
        <v>0</v>
      </c>
      <c r="S298" s="307">
        <f t="shared" ca="1" si="137"/>
        <v>1.7842999999999964</v>
      </c>
      <c r="T298" s="304">
        <f t="shared" ca="1" si="117"/>
        <v>17.503982999999966</v>
      </c>
      <c r="U298" s="311">
        <f t="shared" ca="1" si="118"/>
        <v>0</v>
      </c>
      <c r="V298" s="306">
        <f t="shared" ca="1" si="119"/>
        <v>0.90887174914423863</v>
      </c>
      <c r="W298" s="304">
        <f t="shared" ca="1" si="120"/>
        <v>0.57766465759995533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2962.9545541576299</v>
      </c>
      <c r="AG298" s="306">
        <f t="shared" ca="1" si="143"/>
        <v>-6.6564140914557504</v>
      </c>
      <c r="AH298" s="304">
        <f t="shared" ca="1" si="144"/>
        <v>-0.34351043785357199</v>
      </c>
    </row>
    <row r="299" spans="1:34" x14ac:dyDescent="0.2">
      <c r="A299" s="347">
        <f t="shared" ca="1" si="122"/>
        <v>0.1</v>
      </c>
      <c r="B299" s="304">
        <f t="shared" ca="1" si="123"/>
        <v>22.200000000000031</v>
      </c>
      <c r="D299" s="306">
        <f t="shared" ca="1" si="124"/>
        <v>-0.25484921355328599</v>
      </c>
      <c r="E299" s="307">
        <f t="shared" ca="1" si="125"/>
        <v>-10.009662328607028</v>
      </c>
      <c r="F299" s="304">
        <f t="shared" ca="1" si="126"/>
        <v>10.012906074381373</v>
      </c>
      <c r="G299" s="306">
        <f t="shared" ca="1" si="127"/>
        <v>17.103375078813741</v>
      </c>
      <c r="H299" s="307">
        <f t="shared" ca="1" si="128"/>
        <v>12.418687005749117</v>
      </c>
      <c r="I299" s="304">
        <f t="shared" ca="1" si="129"/>
        <v>21.136443079036475</v>
      </c>
      <c r="J299" s="306">
        <f t="shared" ca="1" si="130"/>
        <v>504.59682536846037</v>
      </c>
      <c r="K299" s="307">
        <f t="shared" ca="1" si="131"/>
        <v>2964.2464711698481</v>
      </c>
      <c r="L299" s="304">
        <f t="shared" ca="1" si="116"/>
        <v>3006.8879423774383</v>
      </c>
      <c r="M299" s="306">
        <f t="shared" ca="1" si="132"/>
        <v>0.62802601223014964</v>
      </c>
      <c r="N299" s="304">
        <f t="shared" ca="1" si="133"/>
        <v>35.983239925218996</v>
      </c>
      <c r="P299" s="310">
        <f t="shared" ca="1" si="134"/>
        <v>23</v>
      </c>
      <c r="Q299" s="304">
        <f t="shared" ca="1" si="135"/>
        <v>0</v>
      </c>
      <c r="R299" s="306">
        <f t="shared" ca="1" si="136"/>
        <v>0</v>
      </c>
      <c r="S299" s="307">
        <f t="shared" ca="1" si="137"/>
        <v>1.7842999999999964</v>
      </c>
      <c r="T299" s="304">
        <f t="shared" ca="1" si="117"/>
        <v>17.503982999999966</v>
      </c>
      <c r="U299" s="311">
        <f t="shared" ca="1" si="118"/>
        <v>0</v>
      </c>
      <c r="V299" s="306">
        <f t="shared" ca="1" si="119"/>
        <v>0.9087517023045536</v>
      </c>
      <c r="W299" s="304">
        <f t="shared" ca="1" si="120"/>
        <v>0.54497436156897205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2964.2464711698481</v>
      </c>
      <c r="AG299" s="306">
        <f t="shared" ca="1" si="143"/>
        <v>-6.3737742846442904</v>
      </c>
      <c r="AH299" s="304">
        <f t="shared" ca="1" si="144"/>
        <v>-0.32374861716076697</v>
      </c>
    </row>
    <row r="300" spans="1:34" x14ac:dyDescent="0.2">
      <c r="A300" s="347">
        <f t="shared" ca="1" si="122"/>
        <v>0.1</v>
      </c>
      <c r="B300" s="304">
        <f t="shared" ca="1" si="123"/>
        <v>22.300000000000033</v>
      </c>
      <c r="D300" s="306">
        <f t="shared" ca="1" si="124"/>
        <v>-0.24714857533731244</v>
      </c>
      <c r="E300" s="307">
        <f t="shared" ca="1" si="125"/>
        <v>-9.9894535164485081</v>
      </c>
      <c r="F300" s="304">
        <f t="shared" ca="1" si="126"/>
        <v>9.9925103940689866</v>
      </c>
      <c r="G300" s="306">
        <f t="shared" ca="1" si="127"/>
        <v>17.07866022128001</v>
      </c>
      <c r="H300" s="307">
        <f t="shared" ca="1" si="128"/>
        <v>11.419741654104266</v>
      </c>
      <c r="I300" s="304">
        <f t="shared" ca="1" si="129"/>
        <v>20.544856641028581</v>
      </c>
      <c r="J300" s="306">
        <f t="shared" ca="1" si="130"/>
        <v>506.30592713346505</v>
      </c>
      <c r="K300" s="307">
        <f t="shared" ca="1" si="131"/>
        <v>2965.4383926028408</v>
      </c>
      <c r="L300" s="304">
        <f t="shared" ca="1" si="116"/>
        <v>3008.3501378950887</v>
      </c>
      <c r="M300" s="306">
        <f t="shared" ca="1" si="132"/>
        <v>0.58937828788356039</v>
      </c>
      <c r="N300" s="304">
        <f t="shared" ca="1" si="133"/>
        <v>33.768888432374432</v>
      </c>
      <c r="P300" s="310">
        <f t="shared" ca="1" si="134"/>
        <v>23</v>
      </c>
      <c r="Q300" s="304">
        <f t="shared" ca="1" si="135"/>
        <v>0</v>
      </c>
      <c r="R300" s="306">
        <f t="shared" ca="1" si="136"/>
        <v>0</v>
      </c>
      <c r="S300" s="307">
        <f t="shared" ca="1" si="137"/>
        <v>1.7842999999999964</v>
      </c>
      <c r="T300" s="304">
        <f t="shared" ca="1" si="117"/>
        <v>17.503982999999966</v>
      </c>
      <c r="U300" s="311">
        <f t="shared" ca="1" si="118"/>
        <v>0</v>
      </c>
      <c r="V300" s="306">
        <f t="shared" ca="1" si="119"/>
        <v>0.90864095918076959</v>
      </c>
      <c r="W300" s="304">
        <f t="shared" ca="1" si="120"/>
        <v>0.51483203799170008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2965.4383926028408</v>
      </c>
      <c r="AG300" s="306">
        <f t="shared" ca="1" si="143"/>
        <v>-6.0692790590993946</v>
      </c>
      <c r="AH300" s="304">
        <f t="shared" ca="1" si="144"/>
        <v>-0.30542754109116915</v>
      </c>
    </row>
    <row r="301" spans="1:34" x14ac:dyDescent="0.2">
      <c r="A301" s="347">
        <f t="shared" ca="1" si="122"/>
        <v>0.1</v>
      </c>
      <c r="B301" s="304">
        <f t="shared" ca="1" si="123"/>
        <v>22.400000000000034</v>
      </c>
      <c r="D301" s="306">
        <f t="shared" ca="1" si="124"/>
        <v>-0.23985477729410776</v>
      </c>
      <c r="E301" s="307">
        <f t="shared" ca="1" si="125"/>
        <v>-9.9703802380112077</v>
      </c>
      <c r="F301" s="304">
        <f t="shared" ca="1" si="126"/>
        <v>9.9732648819087935</v>
      </c>
      <c r="G301" s="306">
        <f t="shared" ca="1" si="127"/>
        <v>17.054674743550599</v>
      </c>
      <c r="H301" s="307">
        <f t="shared" ca="1" si="128"/>
        <v>10.422703630303145</v>
      </c>
      <c r="I301" s="304">
        <f t="shared" ca="1" si="129"/>
        <v>19.987363047021415</v>
      </c>
      <c r="J301" s="306">
        <f t="shared" ca="1" si="130"/>
        <v>508.01259388170655</v>
      </c>
      <c r="K301" s="307">
        <f t="shared" ca="1" si="131"/>
        <v>2966.5305148670614</v>
      </c>
      <c r="L301" s="304">
        <f t="shared" ca="1" si="116"/>
        <v>3009.7142873003495</v>
      </c>
      <c r="M301" s="306">
        <f t="shared" ca="1" si="132"/>
        <v>0.54856658125577007</v>
      </c>
      <c r="N301" s="304">
        <f t="shared" ca="1" si="133"/>
        <v>31.430549887875959</v>
      </c>
      <c r="P301" s="310">
        <f t="shared" ca="1" si="134"/>
        <v>23</v>
      </c>
      <c r="Q301" s="304">
        <f t="shared" ca="1" si="135"/>
        <v>0</v>
      </c>
      <c r="R301" s="306">
        <f t="shared" ca="1" si="136"/>
        <v>0</v>
      </c>
      <c r="S301" s="307">
        <f t="shared" ca="1" si="137"/>
        <v>1.7842999999999964</v>
      </c>
      <c r="T301" s="304">
        <f t="shared" ca="1" si="117"/>
        <v>17.503982999999966</v>
      </c>
      <c r="U301" s="311">
        <f t="shared" ca="1" si="118"/>
        <v>0</v>
      </c>
      <c r="V301" s="306">
        <f t="shared" ca="1" si="119"/>
        <v>0.90853949863173911</v>
      </c>
      <c r="W301" s="304">
        <f t="shared" ca="1" si="120"/>
        <v>0.48721633440464696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2966.5305148670614</v>
      </c>
      <c r="AG301" s="306">
        <f t="shared" ca="1" si="143"/>
        <v>-5.7413671370950965</v>
      </c>
      <c r="AH301" s="304">
        <f t="shared" ca="1" si="144"/>
        <v>-0.2885344605681226</v>
      </c>
    </row>
    <row r="302" spans="1:34" x14ac:dyDescent="0.2">
      <c r="A302" s="347">
        <f t="shared" ca="1" si="122"/>
        <v>0.1</v>
      </c>
      <c r="B302" s="304">
        <f t="shared" ca="1" si="123"/>
        <v>22.500000000000036</v>
      </c>
      <c r="D302" s="306">
        <f t="shared" ca="1" si="124"/>
        <v>-0.23299248036496623</v>
      </c>
      <c r="E302" s="307">
        <f t="shared" ca="1" si="125"/>
        <v>-9.9523897909194439</v>
      </c>
      <c r="F302" s="304">
        <f t="shared" ca="1" si="126"/>
        <v>9.9551166766795962</v>
      </c>
      <c r="G302" s="306">
        <f t="shared" ca="1" si="127"/>
        <v>17.031375495514101</v>
      </c>
      <c r="H302" s="307">
        <f t="shared" ca="1" si="128"/>
        <v>9.427464651211201</v>
      </c>
      <c r="I302" s="304">
        <f t="shared" ca="1" si="129"/>
        <v>19.466505619114976</v>
      </c>
      <c r="J302" s="306">
        <f t="shared" ca="1" si="130"/>
        <v>509.71689639365979</v>
      </c>
      <c r="K302" s="307">
        <f t="shared" ca="1" si="131"/>
        <v>2967.5230232811373</v>
      </c>
      <c r="L302" s="304">
        <f t="shared" ca="1" si="116"/>
        <v>3010.9806057450464</v>
      </c>
      <c r="M302" s="306">
        <f t="shared" ca="1" si="132"/>
        <v>0.5055532702363057</v>
      </c>
      <c r="N302" s="304">
        <f t="shared" ca="1" si="133"/>
        <v>28.966068703577093</v>
      </c>
      <c r="P302" s="310">
        <f t="shared" ca="1" si="134"/>
        <v>23</v>
      </c>
      <c r="Q302" s="304">
        <f t="shared" ca="1" si="135"/>
        <v>0</v>
      </c>
      <c r="R302" s="306">
        <f t="shared" ca="1" si="136"/>
        <v>0</v>
      </c>
      <c r="S302" s="307">
        <f t="shared" ca="1" si="137"/>
        <v>1.7842999999999964</v>
      </c>
      <c r="T302" s="304">
        <f t="shared" ca="1" si="117"/>
        <v>17.503982999999966</v>
      </c>
      <c r="U302" s="311">
        <f t="shared" ca="1" si="118"/>
        <v>0</v>
      </c>
      <c r="V302" s="306">
        <f t="shared" ca="1" si="119"/>
        <v>0.9084473007964734</v>
      </c>
      <c r="W302" s="304">
        <f t="shared" ca="1" si="120"/>
        <v>0.4621072294317668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2967.5230232811373</v>
      </c>
      <c r="AG302" s="306">
        <f t="shared" ca="1" si="143"/>
        <v>-5.3886257992585049</v>
      </c>
      <c r="AH302" s="304">
        <f t="shared" ca="1" si="144"/>
        <v>-0.27305740873432044</v>
      </c>
    </row>
    <row r="303" spans="1:34" x14ac:dyDescent="0.2">
      <c r="A303" s="347">
        <f t="shared" ca="1" si="122"/>
        <v>0.1</v>
      </c>
      <c r="B303" s="304">
        <f t="shared" ca="1" si="123"/>
        <v>22.600000000000037</v>
      </c>
      <c r="D303" s="306">
        <f t="shared" ca="1" si="124"/>
        <v>-0.22658784656201664</v>
      </c>
      <c r="E303" s="307">
        <f t="shared" ca="1" si="125"/>
        <v>-9.9354243331327012</v>
      </c>
      <c r="F303" s="304">
        <f t="shared" ca="1" si="126"/>
        <v>9.9380077848437498</v>
      </c>
      <c r="G303" s="306">
        <f t="shared" ca="1" si="127"/>
        <v>17.0087167108579</v>
      </c>
      <c r="H303" s="307">
        <f t="shared" ca="1" si="128"/>
        <v>8.4339222178979316</v>
      </c>
      <c r="I303" s="304">
        <f t="shared" ca="1" si="129"/>
        <v>18.984927920004573</v>
      </c>
      <c r="J303" s="306">
        <f t="shared" ca="1" si="130"/>
        <v>511.41890100397842</v>
      </c>
      <c r="K303" s="307">
        <f t="shared" ca="1" si="131"/>
        <v>2968.4160926245927</v>
      </c>
      <c r="L303" s="304">
        <f t="shared" ca="1" si="116"/>
        <v>3012.149297637282</v>
      </c>
      <c r="M303" s="306">
        <f t="shared" ca="1" si="132"/>
        <v>0.4603291812180953</v>
      </c>
      <c r="N303" s="304">
        <f t="shared" ca="1" si="133"/>
        <v>26.374919270509704</v>
      </c>
      <c r="P303" s="310">
        <f t="shared" ca="1" si="134"/>
        <v>23</v>
      </c>
      <c r="Q303" s="304">
        <f t="shared" ca="1" si="135"/>
        <v>0</v>
      </c>
      <c r="R303" s="306">
        <f t="shared" ca="1" si="136"/>
        <v>0</v>
      </c>
      <c r="S303" s="307">
        <f t="shared" ca="1" si="137"/>
        <v>1.7842999999999964</v>
      </c>
      <c r="T303" s="304">
        <f t="shared" ca="1" si="117"/>
        <v>17.503982999999966</v>
      </c>
      <c r="U303" s="311">
        <f t="shared" ca="1" si="118"/>
        <v>0</v>
      </c>
      <c r="V303" s="306">
        <f t="shared" ca="1" si="119"/>
        <v>0.90836434704064906</v>
      </c>
      <c r="W303" s="304">
        <f t="shared" ca="1" si="120"/>
        <v>0.43948596484565078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2968.4160926245927</v>
      </c>
      <c r="AG303" s="306">
        <f t="shared" ca="1" si="143"/>
        <v>-5.0098855080156737</v>
      </c>
      <c r="AH303" s="304">
        <f t="shared" ca="1" si="144"/>
        <v>-0.25898516473225786</v>
      </c>
    </row>
    <row r="304" spans="1:34" x14ac:dyDescent="0.2">
      <c r="A304" s="347">
        <f t="shared" ca="1" si="122"/>
        <v>0.1</v>
      </c>
      <c r="B304" s="304">
        <f t="shared" ca="1" si="123"/>
        <v>22.700000000000038</v>
      </c>
      <c r="D304" s="306">
        <f t="shared" ca="1" si="124"/>
        <v>-0.22066818858175896</v>
      </c>
      <c r="E304" s="307">
        <f t="shared" ca="1" si="125"/>
        <v>-9.9194202678603567</v>
      </c>
      <c r="F304" s="304">
        <f t="shared" ca="1" si="126"/>
        <v>9.9218744650338522</v>
      </c>
      <c r="G304" s="306">
        <f t="shared" ca="1" si="127"/>
        <v>16.986649891999726</v>
      </c>
      <c r="H304" s="307">
        <f t="shared" ca="1" si="128"/>
        <v>7.4419801911118961</v>
      </c>
      <c r="I304" s="304">
        <f t="shared" ca="1" si="129"/>
        <v>18.545332127472836</v>
      </c>
      <c r="J304" s="306">
        <f t="shared" ca="1" si="130"/>
        <v>513.11866933412125</v>
      </c>
      <c r="K304" s="307">
        <f t="shared" ca="1" si="131"/>
        <v>2969.209887745043</v>
      </c>
      <c r="L304" s="304">
        <f t="shared" ca="1" si="116"/>
        <v>3013.2205571949339</v>
      </c>
      <c r="M304" s="306">
        <f t="shared" ca="1" si="132"/>
        <v>0.41292030224675796</v>
      </c>
      <c r="N304" s="304">
        <f t="shared" ca="1" si="133"/>
        <v>23.658590594005556</v>
      </c>
      <c r="P304" s="310">
        <f t="shared" ca="1" si="134"/>
        <v>23</v>
      </c>
      <c r="Q304" s="304">
        <f t="shared" ca="1" si="135"/>
        <v>0</v>
      </c>
      <c r="R304" s="306">
        <f t="shared" ca="1" si="136"/>
        <v>0</v>
      </c>
      <c r="S304" s="307">
        <f t="shared" ca="1" si="137"/>
        <v>1.7842999999999964</v>
      </c>
      <c r="T304" s="304">
        <f t="shared" ca="1" si="117"/>
        <v>17.503982999999966</v>
      </c>
      <c r="U304" s="311">
        <f t="shared" ca="1" si="118"/>
        <v>0</v>
      </c>
      <c r="V304" s="306">
        <f t="shared" ca="1" si="119"/>
        <v>0.90829061989822224</v>
      </c>
      <c r="W304" s="304">
        <f t="shared" ca="1" si="120"/>
        <v>0.41933497366596711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 t="e">
        <f t="shared" ca="1" si="141"/>
        <v>#N/A</v>
      </c>
      <c r="AD304" s="323" t="e">
        <f t="shared" ca="1" si="142"/>
        <v>#N/A</v>
      </c>
      <c r="AE304" s="324">
        <f t="shared" ca="1" si="121"/>
        <v>2969.209887745043</v>
      </c>
      <c r="AG304" s="306">
        <f t="shared" ca="1" si="143"/>
        <v>-4.6043315023783755</v>
      </c>
      <c r="AH304" s="304">
        <f t="shared" ca="1" si="144"/>
        <v>-0.24630721562834257</v>
      </c>
    </row>
    <row r="305" spans="1:34" x14ac:dyDescent="0.2">
      <c r="A305" s="347">
        <f t="shared" ca="1" si="122"/>
        <v>0.1</v>
      </c>
      <c r="B305" s="304">
        <f t="shared" ca="1" si="123"/>
        <v>22.80000000000004</v>
      </c>
      <c r="D305" s="306">
        <f t="shared" ca="1" si="124"/>
        <v>-0.21526148402423392</v>
      </c>
      <c r="E305" s="307">
        <f t="shared" ca="1" si="125"/>
        <v>-9.9043076892855844</v>
      </c>
      <c r="F305" s="304">
        <f t="shared" ca="1" si="126"/>
        <v>9.9066466733474385</v>
      </c>
      <c r="G305" s="306">
        <f t="shared" ca="1" si="127"/>
        <v>16.965123743597303</v>
      </c>
      <c r="H305" s="307">
        <f t="shared" ca="1" si="128"/>
        <v>6.4515494221833372</v>
      </c>
      <c r="I305" s="304">
        <f t="shared" ca="1" si="129"/>
        <v>18.150424611629425</v>
      </c>
      <c r="J305" s="306">
        <f t="shared" ca="1" si="130"/>
        <v>514.8162580159011</v>
      </c>
      <c r="K305" s="307">
        <f t="shared" ca="1" si="131"/>
        <v>2969.9045642257079</v>
      </c>
      <c r="L305" s="304">
        <f t="shared" ca="1" si="116"/>
        <v>3014.1945690559169</v>
      </c>
      <c r="M305" s="306">
        <f t="shared" ca="1" si="132"/>
        <v>0.36339434324281406</v>
      </c>
      <c r="N305" s="304">
        <f t="shared" ca="1" si="133"/>
        <v>20.82096216674163</v>
      </c>
      <c r="P305" s="310">
        <f t="shared" ca="1" si="134"/>
        <v>23</v>
      </c>
      <c r="Q305" s="304">
        <f t="shared" ca="1" si="135"/>
        <v>0</v>
      </c>
      <c r="R305" s="306">
        <f t="shared" ca="1" si="136"/>
        <v>0</v>
      </c>
      <c r="S305" s="307">
        <f t="shared" ca="1" si="137"/>
        <v>1.7842999999999964</v>
      </c>
      <c r="T305" s="304">
        <f t="shared" ca="1" si="117"/>
        <v>17.503982999999966</v>
      </c>
      <c r="U305" s="311">
        <f t="shared" ca="1" si="118"/>
        <v>0</v>
      </c>
      <c r="V305" s="306">
        <f t="shared" ca="1" si="119"/>
        <v>0.90822610300761353</v>
      </c>
      <c r="W305" s="304">
        <f t="shared" ca="1" si="120"/>
        <v>0.40163780368977031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2969.9045642257079</v>
      </c>
      <c r="AG305" s="306">
        <f t="shared" ca="1" si="143"/>
        <v>-4.1716283409174455</v>
      </c>
      <c r="AH305" s="304">
        <f t="shared" ca="1" si="144"/>
        <v>-0.235013716116106</v>
      </c>
    </row>
    <row r="306" spans="1:34" x14ac:dyDescent="0.2">
      <c r="A306" s="347">
        <f t="shared" ca="1" si="122"/>
        <v>0.1</v>
      </c>
      <c r="B306" s="304">
        <f t="shared" ca="1" si="123"/>
        <v>22.900000000000041</v>
      </c>
      <c r="D306" s="306">
        <f t="shared" ca="1" si="124"/>
        <v>-0.21039574398068375</v>
      </c>
      <c r="E306" s="307">
        <f t="shared" ca="1" si="125"/>
        <v>-9.8900099404533197</v>
      </c>
      <c r="F306" s="304">
        <f t="shared" ca="1" si="126"/>
        <v>9.8922476208064385</v>
      </c>
      <c r="G306" s="306">
        <f t="shared" ca="1" si="127"/>
        <v>16.944084169199236</v>
      </c>
      <c r="H306" s="307">
        <f t="shared" ca="1" si="128"/>
        <v>5.462548428138005</v>
      </c>
      <c r="I306" s="304">
        <f t="shared" ca="1" si="129"/>
        <v>17.802848751328007</v>
      </c>
      <c r="J306" s="306">
        <f t="shared" ca="1" si="130"/>
        <v>516.51171841154087</v>
      </c>
      <c r="K306" s="307">
        <f t="shared" ca="1" si="131"/>
        <v>2970.500269118224</v>
      </c>
      <c r="L306" s="304">
        <f t="shared" ca="1" si="116"/>
        <v>3015.0715089509708</v>
      </c>
      <c r="M306" s="306">
        <f t="shared" ca="1" si="132"/>
        <v>0.31186650196053478</v>
      </c>
      <c r="N306" s="304">
        <f t="shared" ca="1" si="133"/>
        <v>17.868634333847055</v>
      </c>
      <c r="P306" s="310">
        <f t="shared" ca="1" si="134"/>
        <v>23</v>
      </c>
      <c r="Q306" s="304">
        <f t="shared" ca="1" si="135"/>
        <v>0</v>
      </c>
      <c r="R306" s="306">
        <f t="shared" ca="1" si="136"/>
        <v>0</v>
      </c>
      <c r="S306" s="307">
        <f t="shared" ca="1" si="137"/>
        <v>1.7842999999999964</v>
      </c>
      <c r="T306" s="304">
        <f t="shared" ca="1" si="117"/>
        <v>17.503982999999966</v>
      </c>
      <c r="U306" s="311">
        <f t="shared" ca="1" si="118"/>
        <v>0</v>
      </c>
      <c r="V306" s="306">
        <f t="shared" ca="1" si="119"/>
        <v>0.90817078104198301</v>
      </c>
      <c r="W306" s="304">
        <f t="shared" ca="1" si="120"/>
        <v>0.38637903593819045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2970.500269118224</v>
      </c>
      <c r="AG306" s="306">
        <f t="shared" ca="1" si="143"/>
        <v>-3.7120496732240964</v>
      </c>
      <c r="AH306" s="304">
        <f t="shared" ca="1" si="144"/>
        <v>-0.22509544565923392</v>
      </c>
    </row>
    <row r="307" spans="1:34" x14ac:dyDescent="0.2">
      <c r="A307" s="347">
        <f t="shared" ca="1" si="122"/>
        <v>0.1</v>
      </c>
      <c r="B307" s="304">
        <f t="shared" ca="1" si="123"/>
        <v>23.000000000000043</v>
      </c>
      <c r="D307" s="306">
        <f t="shared" ca="1" si="124"/>
        <v>-0.20609823709697861</v>
      </c>
      <c r="E307" s="307">
        <f t="shared" ca="1" si="125"/>
        <v>-9.8764433432845333</v>
      </c>
      <c r="F307" s="304">
        <f t="shared" ca="1" si="126"/>
        <v>9.8785935029458436</v>
      </c>
      <c r="G307" s="306">
        <f t="shared" ca="1" si="127"/>
        <v>16.923474345489538</v>
      </c>
      <c r="H307" s="307">
        <f t="shared" ca="1" si="128"/>
        <v>4.4749040938095517</v>
      </c>
      <c r="I307" s="304">
        <f t="shared" ca="1" si="129"/>
        <v>17.505106414164867</v>
      </c>
      <c r="J307" s="306">
        <f t="shared" ca="1" si="130"/>
        <v>518.20509633727534</v>
      </c>
      <c r="K307" s="307">
        <f t="shared" ca="1" si="131"/>
        <v>2970.9971417443212</v>
      </c>
      <c r="L307" s="304">
        <f t="shared" ca="1" si="116"/>
        <v>3015.8515444436002</v>
      </c>
      <c r="M307" s="306">
        <f t="shared" ca="1" si="132"/>
        <v>0.25850365576446144</v>
      </c>
      <c r="N307" s="304">
        <f t="shared" ca="1" si="133"/>
        <v>14.811168464006315</v>
      </c>
      <c r="P307" s="310">
        <f t="shared" ca="1" si="134"/>
        <v>23</v>
      </c>
      <c r="Q307" s="304">
        <f t="shared" ca="1" si="135"/>
        <v>0</v>
      </c>
      <c r="R307" s="306">
        <f t="shared" ca="1" si="136"/>
        <v>0</v>
      </c>
      <c r="S307" s="307">
        <f t="shared" ca="1" si="137"/>
        <v>1.7842999999999964</v>
      </c>
      <c r="T307" s="304">
        <f t="shared" ca="1" si="117"/>
        <v>17.503982999999966</v>
      </c>
      <c r="U307" s="311">
        <f t="shared" ca="1" si="118"/>
        <v>0</v>
      </c>
      <c r="V307" s="306">
        <f t="shared" ca="1" si="119"/>
        <v>0.90812463963325984</v>
      </c>
      <c r="W307" s="304">
        <f t="shared" ca="1" si="120"/>
        <v>0.37354419764787983</v>
      </c>
      <c r="Y307" s="314" t="str">
        <f t="shared" ca="1" si="138"/>
        <v/>
      </c>
      <c r="Z307" s="315" t="str">
        <f t="shared" ca="1" si="139"/>
        <v>Para</v>
      </c>
      <c r="AA307" s="316" t="str">
        <f t="shared" ca="1" si="140"/>
        <v/>
      </c>
      <c r="AC307" s="310">
        <f t="shared" ca="1" si="141"/>
        <v>23.000000000000043</v>
      </c>
      <c r="AD307" s="323">
        <f t="shared" ca="1" si="142"/>
        <v>518.20509633727534</v>
      </c>
      <c r="AE307" s="324" t="e">
        <f t="shared" ca="1" si="121"/>
        <v>#N/A</v>
      </c>
      <c r="AG307" s="306">
        <f t="shared" ca="1" si="143"/>
        <v>-3.2266013568565999</v>
      </c>
      <c r="AH307" s="304">
        <f t="shared" ca="1" si="144"/>
        <v>-0.21654376278551321</v>
      </c>
    </row>
    <row r="308" spans="1:34" x14ac:dyDescent="0.2">
      <c r="A308" s="347">
        <f t="shared" ca="1" si="122"/>
        <v>0.1</v>
      </c>
      <c r="B308" s="304">
        <f t="shared" ca="1" si="123"/>
        <v>23.100000000000044</v>
      </c>
      <c r="D308" s="306">
        <f t="shared" ca="1" si="124"/>
        <v>-0.20239458620408557</v>
      </c>
      <c r="E308" s="307">
        <f t="shared" ca="1" si="125"/>
        <v>-9.8635171646128885</v>
      </c>
      <c r="F308" s="304">
        <f t="shared" ca="1" si="126"/>
        <v>9.8655934654301358</v>
      </c>
      <c r="G308" s="306">
        <f t="shared" ca="1" si="127"/>
        <v>16.903234886869129</v>
      </c>
      <c r="H308" s="307">
        <f t="shared" ca="1" si="128"/>
        <v>3.4885523773482627</v>
      </c>
      <c r="I308" s="304">
        <f t="shared" ca="1" si="129"/>
        <v>17.259471235532445</v>
      </c>
      <c r="J308" s="306">
        <f t="shared" ca="1" si="130"/>
        <v>519.89643179889322</v>
      </c>
      <c r="K308" s="307">
        <f t="shared" ca="1" si="131"/>
        <v>2971.3953145678793</v>
      </c>
      <c r="L308" s="304">
        <f t="shared" ca="1" si="116"/>
        <v>3016.5348357400367</v>
      </c>
      <c r="M308" s="306">
        <f t="shared" ca="1" si="132"/>
        <v>0.20352614237879244</v>
      </c>
      <c r="N308" s="304">
        <f t="shared" ca="1" si="133"/>
        <v>11.661188978883491</v>
      </c>
      <c r="P308" s="310">
        <f t="shared" ca="1" si="134"/>
        <v>23</v>
      </c>
      <c r="Q308" s="304">
        <f t="shared" ca="1" si="135"/>
        <v>0</v>
      </c>
      <c r="R308" s="306">
        <f t="shared" ca="1" si="136"/>
        <v>0</v>
      </c>
      <c r="S308" s="307">
        <f t="shared" ca="1" si="137"/>
        <v>1.7842999999999964</v>
      </c>
      <c r="T308" s="304">
        <f t="shared" ca="1" si="117"/>
        <v>17.503982999999966</v>
      </c>
      <c r="U308" s="311">
        <f t="shared" ca="1" si="118"/>
        <v>0</v>
      </c>
      <c r="V308" s="306">
        <f t="shared" ca="1" si="119"/>
        <v>0.90808766528977181</v>
      </c>
      <c r="W308" s="304">
        <f t="shared" ca="1" si="120"/>
        <v>0.36311966963901637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 t="e">
        <f t="shared" ca="1" si="121"/>
        <v>#N/A</v>
      </c>
      <c r="AG308" s="306">
        <f t="shared" ca="1" si="143"/>
        <v>-2.7171221814504443</v>
      </c>
      <c r="AH308" s="304">
        <f t="shared" ca="1" si="144"/>
        <v>-0.20935055632342128</v>
      </c>
    </row>
    <row r="309" spans="1:34" x14ac:dyDescent="0.2">
      <c r="A309" s="347">
        <f t="shared" ca="1" si="122"/>
        <v>0.1</v>
      </c>
      <c r="B309" s="304">
        <f t="shared" ca="1" si="123"/>
        <v>23.200000000000045</v>
      </c>
      <c r="D309" s="306">
        <f t="shared" ca="1" si="124"/>
        <v>-0.19930777420531998</v>
      </c>
      <c r="E309" s="307">
        <f t="shared" ca="1" si="125"/>
        <v>-9.8511338784665465</v>
      </c>
      <c r="F309" s="304">
        <f t="shared" ca="1" si="126"/>
        <v>9.8531498659225729</v>
      </c>
      <c r="G309" s="306">
        <f t="shared" ca="1" si="127"/>
        <v>16.883304109448595</v>
      </c>
      <c r="H309" s="307">
        <f t="shared" ca="1" si="128"/>
        <v>2.5034389895016078</v>
      </c>
      <c r="I309" s="304">
        <f t="shared" ca="1" si="129"/>
        <v>17.067898652918018</v>
      </c>
      <c r="J309" s="306">
        <f t="shared" ca="1" si="130"/>
        <v>521.58575874870905</v>
      </c>
      <c r="K309" s="307">
        <f t="shared" ca="1" si="131"/>
        <v>2971.6949141362215</v>
      </c>
      <c r="L309" s="304">
        <f t="shared" ca="1" si="116"/>
        <v>3017.1215365696739</v>
      </c>
      <c r="M309" s="306">
        <f t="shared" ca="1" si="132"/>
        <v>0.14720636787846678</v>
      </c>
      <c r="N309" s="304">
        <f t="shared" ca="1" si="133"/>
        <v>8.4343035968863163</v>
      </c>
      <c r="P309" s="310">
        <f t="shared" ca="1" si="134"/>
        <v>23</v>
      </c>
      <c r="Q309" s="304">
        <f t="shared" ca="1" si="135"/>
        <v>0</v>
      </c>
      <c r="R309" s="306">
        <f t="shared" ca="1" si="136"/>
        <v>0</v>
      </c>
      <c r="S309" s="307">
        <f t="shared" ca="1" si="137"/>
        <v>1.7842999999999964</v>
      </c>
      <c r="T309" s="304">
        <f t="shared" ca="1" si="117"/>
        <v>17.503982999999966</v>
      </c>
      <c r="U309" s="311">
        <f t="shared" ca="1" si="118"/>
        <v>0</v>
      </c>
      <c r="V309" s="306">
        <f t="shared" ca="1" si="119"/>
        <v>0.90805984530756578</v>
      </c>
      <c r="W309" s="304">
        <f t="shared" ca="1" si="120"/>
        <v>0.35509258815413108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 t="e">
        <f t="shared" ca="1" si="121"/>
        <v>#N/A</v>
      </c>
      <c r="AG309" s="306">
        <f t="shared" ca="1" si="143"/>
        <v>-2.186344072684332</v>
      </c>
      <c r="AH309" s="304">
        <f t="shared" ca="1" si="144"/>
        <v>-0.20350819348709134</v>
      </c>
    </row>
    <row r="310" spans="1:34" x14ac:dyDescent="0.2">
      <c r="A310" s="347">
        <f t="shared" ca="1" si="122"/>
        <v>0.1</v>
      </c>
      <c r="B310" s="304">
        <f t="shared" ca="1" si="123"/>
        <v>23.300000000000047</v>
      </c>
      <c r="D310" s="306">
        <f t="shared" ca="1" si="124"/>
        <v>-0.19685711664086572</v>
      </c>
      <c r="E310" s="307">
        <f t="shared" ca="1" si="125"/>
        <v>-9.8391897710285168</v>
      </c>
      <c r="F310" s="304">
        <f t="shared" ca="1" si="126"/>
        <v>9.8411588786425135</v>
      </c>
      <c r="G310" s="306">
        <f t="shared" ca="1" si="127"/>
        <v>16.86361839778451</v>
      </c>
      <c r="H310" s="307">
        <f t="shared" ca="1" si="128"/>
        <v>1.5195200123987562</v>
      </c>
      <c r="I310" s="304">
        <f t="shared" ca="1" si="129"/>
        <v>16.931939243163391</v>
      </c>
      <c r="J310" s="306">
        <f t="shared" ca="1" si="130"/>
        <v>523.27310487407067</v>
      </c>
      <c r="K310" s="307">
        <f t="shared" ca="1" si="131"/>
        <v>2971.8960620863168</v>
      </c>
      <c r="L310" s="304">
        <f t="shared" ca="1" si="116"/>
        <v>3017.6117951334804</v>
      </c>
      <c r="M310" s="306">
        <f t="shared" ca="1" si="132"/>
        <v>8.9863722248184147E-2</v>
      </c>
      <c r="N310" s="304">
        <f t="shared" ca="1" si="133"/>
        <v>5.1488120161568292</v>
      </c>
      <c r="P310" s="310">
        <f t="shared" ca="1" si="134"/>
        <v>23</v>
      </c>
      <c r="Q310" s="304">
        <f t="shared" ca="1" si="135"/>
        <v>0</v>
      </c>
      <c r="R310" s="306">
        <f t="shared" ca="1" si="136"/>
        <v>0</v>
      </c>
      <c r="S310" s="307">
        <f t="shared" ca="1" si="137"/>
        <v>1.7842999999999964</v>
      </c>
      <c r="T310" s="304">
        <f t="shared" ca="1" si="117"/>
        <v>17.503982999999966</v>
      </c>
      <c r="U310" s="311">
        <f t="shared" ca="1" si="118"/>
        <v>0</v>
      </c>
      <c r="V310" s="306">
        <f t="shared" ca="1" si="119"/>
        <v>0.90804116767581267</v>
      </c>
      <c r="W310" s="304">
        <f t="shared" ca="1" si="120"/>
        <v>0.3494507415741881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 t="e">
        <f t="shared" ca="1" si="121"/>
        <v>#N/A</v>
      </c>
      <c r="AG310" s="306">
        <f t="shared" ca="1" si="143"/>
        <v>-1.6378940625755189</v>
      </c>
      <c r="AH310" s="304">
        <f t="shared" ca="1" si="144"/>
        <v>-0.19900946486248489</v>
      </c>
    </row>
    <row r="311" spans="1:34" x14ac:dyDescent="0.2">
      <c r="A311" s="347">
        <f t="shared" ca="1" si="122"/>
        <v>0.1</v>
      </c>
      <c r="B311" s="304">
        <f t="shared" ca="1" si="123"/>
        <v>23.400000000000048</v>
      </c>
      <c r="D311" s="306">
        <f t="shared" ca="1" si="124"/>
        <v>-0.19505727631049824</v>
      </c>
      <c r="E311" s="307">
        <f t="shared" ca="1" si="125"/>
        <v>-9.8275759097440645</v>
      </c>
      <c r="F311" s="304">
        <f t="shared" ca="1" si="126"/>
        <v>9.8295114630801237</v>
      </c>
      <c r="G311" s="306">
        <f t="shared" ca="1" si="127"/>
        <v>16.844112670153461</v>
      </c>
      <c r="H311" s="307">
        <f t="shared" ca="1" si="128"/>
        <v>0.53676242142434971</v>
      </c>
      <c r="I311" s="304">
        <f t="shared" ca="1" si="129"/>
        <v>16.852662862048767</v>
      </c>
      <c r="J311" s="306">
        <f t="shared" ca="1" si="130"/>
        <v>524.95849142746761</v>
      </c>
      <c r="K311" s="307">
        <f t="shared" ca="1" si="131"/>
        <v>2971.9988762080079</v>
      </c>
      <c r="L311" s="304">
        <f t="shared" ca="1" si="116"/>
        <v>3018.0057551143709</v>
      </c>
      <c r="M311" s="306">
        <f t="shared" ca="1" si="132"/>
        <v>3.1855690679044847E-2</v>
      </c>
      <c r="N311" s="304">
        <f t="shared" ca="1" si="133"/>
        <v>1.8251966293835054</v>
      </c>
      <c r="P311" s="310">
        <f t="shared" ca="1" si="134"/>
        <v>23</v>
      </c>
      <c r="Q311" s="304">
        <f t="shared" ca="1" si="135"/>
        <v>0</v>
      </c>
      <c r="R311" s="306">
        <f t="shared" ca="1" si="136"/>
        <v>0</v>
      </c>
      <c r="S311" s="307">
        <f t="shared" ca="1" si="137"/>
        <v>1.7842999999999964</v>
      </c>
      <c r="T311" s="304">
        <f t="shared" ca="1" si="117"/>
        <v>17.503982999999966</v>
      </c>
      <c r="U311" s="311">
        <f t="shared" ca="1" si="118"/>
        <v>0</v>
      </c>
      <c r="V311" s="306">
        <f t="shared" ca="1" si="119"/>
        <v>0.9080316209770094</v>
      </c>
      <c r="W311" s="304">
        <f t="shared" ca="1" si="120"/>
        <v>0.34618246276045594</v>
      </c>
      <c r="Y311" s="314" t="str">
        <f t="shared" ca="1" si="138"/>
        <v>Apogée</v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 t="e">
        <f t="shared" ca="1" si="121"/>
        <v>#N/A</v>
      </c>
      <c r="AG311" s="306">
        <f t="shared" ca="1" si="143"/>
        <v>-1.0762246119559638</v>
      </c>
      <c r="AH311" s="304">
        <f t="shared" ca="1" si="144"/>
        <v>-0.19584752652255158</v>
      </c>
    </row>
    <row r="312" spans="1:34" x14ac:dyDescent="0.2">
      <c r="A312" s="347">
        <f t="shared" ca="1" si="122"/>
        <v>0.1</v>
      </c>
      <c r="B312" s="304">
        <f t="shared" ca="1" si="123"/>
        <v>23.50000000000005</v>
      </c>
      <c r="D312" s="306">
        <f t="shared" ca="1" si="124"/>
        <v>-0.19391740583069533</v>
      </c>
      <c r="E312" s="307">
        <f t="shared" ca="1" si="125"/>
        <v>-9.8161794633144712</v>
      </c>
      <c r="F312" s="304">
        <f t="shared" ca="1" si="126"/>
        <v>9.8180946836074501</v>
      </c>
      <c r="G312" s="306">
        <f t="shared" ca="1" si="127"/>
        <v>16.82472092957039</v>
      </c>
      <c r="H312" s="307">
        <f t="shared" ca="1" si="128"/>
        <v>-0.44485552490709745</v>
      </c>
      <c r="I312" s="304">
        <f t="shared" ca="1" si="129"/>
        <v>16.830601023016506</v>
      </c>
      <c r="J312" s="306">
        <f t="shared" ca="1" si="130"/>
        <v>526.64193310745384</v>
      </c>
      <c r="K312" s="307">
        <f t="shared" ca="1" si="131"/>
        <v>2972.0034715528336</v>
      </c>
      <c r="L312" s="304">
        <f t="shared" ca="1" si="116"/>
        <v>3018.3035567399861</v>
      </c>
      <c r="M312" s="306">
        <f t="shared" ca="1" si="132"/>
        <v>-2.6434429632728084E-2</v>
      </c>
      <c r="N312" s="304">
        <f t="shared" ca="1" si="133"/>
        <v>-1.5145812517908781</v>
      </c>
      <c r="P312" s="310">
        <f t="shared" ca="1" si="134"/>
        <v>23</v>
      </c>
      <c r="Q312" s="304">
        <f t="shared" ca="1" si="135"/>
        <v>0</v>
      </c>
      <c r="R312" s="306">
        <f t="shared" ca="1" si="136"/>
        <v>0</v>
      </c>
      <c r="S312" s="307">
        <f t="shared" ca="1" si="137"/>
        <v>1.7842999999999964</v>
      </c>
      <c r="T312" s="304">
        <f t="shared" ca="1" si="117"/>
        <v>17.503982999999966</v>
      </c>
      <c r="U312" s="311">
        <f t="shared" ca="1" si="118"/>
        <v>0</v>
      </c>
      <c r="V312" s="306">
        <f t="shared" ca="1" si="119"/>
        <v>0.90803119428301904</v>
      </c>
      <c r="W312" s="304">
        <f t="shared" ca="1" si="120"/>
        <v>0.34527651811307708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 t="e">
        <f t="shared" ca="1" si="121"/>
        <v>#N/A</v>
      </c>
      <c r="AG312" s="306">
        <f t="shared" ca="1" si="143"/>
        <v>-0.50646731381554033</v>
      </c>
      <c r="AH312" s="304">
        <f t="shared" ca="1" si="144"/>
        <v>-0.1940158396908909</v>
      </c>
    </row>
    <row r="313" spans="1:34" x14ac:dyDescent="0.2">
      <c r="A313" s="347">
        <f t="shared" ca="1" si="122"/>
        <v>0.1</v>
      </c>
      <c r="B313" s="304">
        <f t="shared" ca="1" si="123"/>
        <v>23.600000000000051</v>
      </c>
      <c r="D313" s="306">
        <f t="shared" ca="1" si="124"/>
        <v>-0.19344050279416522</v>
      </c>
      <c r="E313" s="307">
        <f t="shared" ca="1" si="125"/>
        <v>-9.8048853192413112</v>
      </c>
      <c r="F313" s="304">
        <f t="shared" ca="1" si="126"/>
        <v>9.8067933266483731</v>
      </c>
      <c r="G313" s="306">
        <f t="shared" ca="1" si="127"/>
        <v>16.805376879290971</v>
      </c>
      <c r="H313" s="307">
        <f t="shared" ca="1" si="128"/>
        <v>-1.4253440568312286</v>
      </c>
      <c r="I313" s="304">
        <f t="shared" ca="1" si="129"/>
        <v>16.865713674059325</v>
      </c>
      <c r="J313" s="306">
        <f t="shared" ca="1" si="130"/>
        <v>528.32343799789692</v>
      </c>
      <c r="K313" s="307">
        <f t="shared" ca="1" si="131"/>
        <v>2971.9099615737468</v>
      </c>
      <c r="L313" s="304">
        <f t="shared" ca="1" si="116"/>
        <v>3018.5053378848256</v>
      </c>
      <c r="M313" s="306">
        <f t="shared" ca="1" si="132"/>
        <v>-8.4612263369134882E-2</v>
      </c>
      <c r="N313" s="304">
        <f t="shared" ca="1" si="133"/>
        <v>-4.8479255861008044</v>
      </c>
      <c r="P313" s="310">
        <f t="shared" ca="1" si="134"/>
        <v>23</v>
      </c>
      <c r="Q313" s="304">
        <f t="shared" ca="1" si="135"/>
        <v>0</v>
      </c>
      <c r="R313" s="306">
        <f t="shared" ca="1" si="136"/>
        <v>0</v>
      </c>
      <c r="S313" s="307">
        <f t="shared" ca="1" si="137"/>
        <v>1.7842999999999964</v>
      </c>
      <c r="T313" s="304">
        <f t="shared" ca="1" si="117"/>
        <v>17.503982999999966</v>
      </c>
      <c r="U313" s="311">
        <f t="shared" ca="1" si="118"/>
        <v>0</v>
      </c>
      <c r="V313" s="306">
        <f t="shared" ca="1" si="119"/>
        <v>0.90803987704830513</v>
      </c>
      <c r="W313" s="304">
        <f t="shared" ca="1" si="120"/>
        <v>0.3467219947432883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 t="e">
        <f t="shared" ca="1" si="121"/>
        <v>#N/A</v>
      </c>
      <c r="AG313" s="306">
        <f t="shared" ca="1" si="143"/>
        <v>6.5783445751180919E-2</v>
      </c>
      <c r="AH313" s="304">
        <f t="shared" ca="1" si="144"/>
        <v>-0.19350810856530729</v>
      </c>
    </row>
    <row r="314" spans="1:34" x14ac:dyDescent="0.2">
      <c r="A314" s="347">
        <f t="shared" ca="1" si="122"/>
        <v>0.1</v>
      </c>
      <c r="B314" s="304">
        <f t="shared" ca="1" si="123"/>
        <v>23.700000000000053</v>
      </c>
      <c r="D314" s="306">
        <f t="shared" ca="1" si="124"/>
        <v>-0.19362304707177075</v>
      </c>
      <c r="E314" s="307">
        <f t="shared" ca="1" si="125"/>
        <v>-9.7935779071548588</v>
      </c>
      <c r="F314" s="304">
        <f t="shared" ca="1" si="126"/>
        <v>9.7954917236384365</v>
      </c>
      <c r="G314" s="306">
        <f t="shared" ca="1" si="127"/>
        <v>16.786014574583795</v>
      </c>
      <c r="H314" s="307">
        <f t="shared" ca="1" si="128"/>
        <v>-2.4047018475467143</v>
      </c>
      <c r="I314" s="304">
        <f t="shared" ca="1" si="129"/>
        <v>16.957384122373774</v>
      </c>
      <c r="J314" s="306">
        <f t="shared" ca="1" si="130"/>
        <v>530.00300757059063</v>
      </c>
      <c r="K314" s="307">
        <f t="shared" ca="1" si="131"/>
        <v>2971.7184592785279</v>
      </c>
      <c r="L314" s="304">
        <f t="shared" ca="1" si="116"/>
        <v>3018.6112351958509</v>
      </c>
      <c r="M314" s="306">
        <f t="shared" ca="1" si="132"/>
        <v>-0.14228817799615034</v>
      </c>
      <c r="N314" s="304">
        <f t="shared" ca="1" si="133"/>
        <v>-8.1525120737856422</v>
      </c>
      <c r="P314" s="310">
        <f t="shared" ca="1" si="134"/>
        <v>23</v>
      </c>
      <c r="Q314" s="304">
        <f t="shared" ca="1" si="135"/>
        <v>0</v>
      </c>
      <c r="R314" s="306">
        <f t="shared" ca="1" si="136"/>
        <v>0</v>
      </c>
      <c r="S314" s="307">
        <f t="shared" ca="1" si="137"/>
        <v>1.7842999999999964</v>
      </c>
      <c r="T314" s="304">
        <f t="shared" ca="1" si="117"/>
        <v>17.503982999999966</v>
      </c>
      <c r="U314" s="311">
        <f t="shared" ca="1" si="118"/>
        <v>0</v>
      </c>
      <c r="V314" s="306">
        <f t="shared" ca="1" si="119"/>
        <v>0.9080576590019267</v>
      </c>
      <c r="W314" s="304">
        <f t="shared" ca="1" si="120"/>
        <v>0.35050818738829853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 t="e">
        <f t="shared" ca="1" si="121"/>
        <v>#N/A</v>
      </c>
      <c r="AG314" s="306">
        <f t="shared" ca="1" si="143"/>
        <v>0.63473802493069309</v>
      </c>
      <c r="AH314" s="304">
        <f t="shared" ca="1" si="144"/>
        <v>-0.19431821708417249</v>
      </c>
    </row>
    <row r="315" spans="1:34" x14ac:dyDescent="0.2">
      <c r="A315" s="347">
        <f t="shared" ca="1" si="122"/>
        <v>0.1</v>
      </c>
      <c r="B315" s="304">
        <f t="shared" ca="1" si="123"/>
        <v>23.800000000000054</v>
      </c>
      <c r="D315" s="306">
        <f t="shared" ca="1" si="124"/>
        <v>-0.19445496181106875</v>
      </c>
      <c r="E315" s="307">
        <f t="shared" ca="1" si="125"/>
        <v>-9.7821431073555889</v>
      </c>
      <c r="F315" s="304">
        <f t="shared" ca="1" si="126"/>
        <v>9.7840756592003828</v>
      </c>
      <c r="G315" s="306">
        <f t="shared" ca="1" si="127"/>
        <v>16.766569078402689</v>
      </c>
      <c r="H315" s="307">
        <f t="shared" ca="1" si="128"/>
        <v>-3.3829161582822733</v>
      </c>
      <c r="I315" s="304">
        <f t="shared" ca="1" si="129"/>
        <v>17.104442709273414</v>
      </c>
      <c r="J315" s="306">
        <f t="shared" ca="1" si="130"/>
        <v>531.68063675323992</v>
      </c>
      <c r="K315" s="307">
        <f t="shared" ca="1" si="131"/>
        <v>2971.4290783782367</v>
      </c>
      <c r="L315" s="304">
        <f t="shared" ca="1" si="116"/>
        <v>3018.6213852237361</v>
      </c>
      <c r="M315" s="306">
        <f t="shared" ca="1" si="132"/>
        <v>-0.19909263350128881</v>
      </c>
      <c r="N315" s="304">
        <f t="shared" ca="1" si="133"/>
        <v>-11.40716763176875</v>
      </c>
      <c r="P315" s="310">
        <f t="shared" ca="1" si="134"/>
        <v>23</v>
      </c>
      <c r="Q315" s="304">
        <f t="shared" ca="1" si="135"/>
        <v>0</v>
      </c>
      <c r="R315" s="306">
        <f t="shared" ca="1" si="136"/>
        <v>0</v>
      </c>
      <c r="S315" s="307">
        <f t="shared" ca="1" si="137"/>
        <v>1.7842999999999964</v>
      </c>
      <c r="T315" s="304">
        <f t="shared" ca="1" si="117"/>
        <v>17.503982999999966</v>
      </c>
      <c r="U315" s="311">
        <f t="shared" ca="1" si="118"/>
        <v>0</v>
      </c>
      <c r="V315" s="306">
        <f t="shared" ca="1" si="119"/>
        <v>0.90808453004001599</v>
      </c>
      <c r="W315" s="304">
        <f t="shared" ca="1" si="120"/>
        <v>0.35662448682462222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 t="e">
        <f t="shared" ca="1" si="121"/>
        <v>#N/A</v>
      </c>
      <c r="AG315" s="306">
        <f t="shared" ca="1" si="143"/>
        <v>1.1947015904082532</v>
      </c>
      <c r="AH315" s="304">
        <f t="shared" ca="1" si="144"/>
        <v>-0.19644016554856203</v>
      </c>
    </row>
    <row r="316" spans="1:34" x14ac:dyDescent="0.2">
      <c r="A316" s="347">
        <f t="shared" ca="1" si="122"/>
        <v>0.1</v>
      </c>
      <c r="B316" s="304">
        <f t="shared" ca="1" si="123"/>
        <v>23.900000000000055</v>
      </c>
      <c r="D316" s="306">
        <f t="shared" ca="1" si="124"/>
        <v>-0.19591990344645943</v>
      </c>
      <c r="E316" s="307">
        <f t="shared" ca="1" si="125"/>
        <v>-9.7704701114462438</v>
      </c>
      <c r="F316" s="304">
        <f t="shared" ca="1" si="126"/>
        <v>9.7724342314098411</v>
      </c>
      <c r="G316" s="306">
        <f t="shared" ca="1" si="127"/>
        <v>16.746977088058042</v>
      </c>
      <c r="H316" s="307">
        <f t="shared" ca="1" si="128"/>
        <v>-4.3599631694268979</v>
      </c>
      <c r="I316" s="304">
        <f t="shared" ca="1" si="129"/>
        <v>17.305216566882368</v>
      </c>
      <c r="J316" s="306">
        <f t="shared" ca="1" si="130"/>
        <v>533.35631406156301</v>
      </c>
      <c r="K316" s="307">
        <f t="shared" ca="1" si="131"/>
        <v>2971.0419344118513</v>
      </c>
      <c r="L316" s="304">
        <f t="shared" ca="1" si="116"/>
        <v>3018.5359255412304</v>
      </c>
      <c r="M316" s="306">
        <f t="shared" ca="1" si="132"/>
        <v>-0.254689587852031</v>
      </c>
      <c r="N316" s="304">
        <f t="shared" ca="1" si="133"/>
        <v>-14.592638469847778</v>
      </c>
      <c r="P316" s="310">
        <f t="shared" ca="1" si="134"/>
        <v>23</v>
      </c>
      <c r="Q316" s="304">
        <f t="shared" ca="1" si="135"/>
        <v>0</v>
      </c>
      <c r="R316" s="306">
        <f t="shared" ca="1" si="136"/>
        <v>0</v>
      </c>
      <c r="S316" s="307">
        <f t="shared" ca="1" si="137"/>
        <v>1.7842999999999964</v>
      </c>
      <c r="T316" s="304">
        <f t="shared" ca="1" si="117"/>
        <v>17.503982999999966</v>
      </c>
      <c r="U316" s="311">
        <f t="shared" ca="1" si="118"/>
        <v>0</v>
      </c>
      <c r="V316" s="306">
        <f t="shared" ca="1" si="119"/>
        <v>0.90812048012046731</v>
      </c>
      <c r="W316" s="304">
        <f t="shared" ca="1" si="120"/>
        <v>0.365060271539071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 t="e">
        <f t="shared" ca="1" si="121"/>
        <v>#N/A</v>
      </c>
      <c r="AG316" s="306">
        <f t="shared" ca="1" si="143"/>
        <v>1.7403534932428657</v>
      </c>
      <c r="AH316" s="304">
        <f t="shared" ca="1" si="144"/>
        <v>-0.19986800808419153</v>
      </c>
    </row>
    <row r="317" spans="1:34" x14ac:dyDescent="0.2">
      <c r="A317" s="347">
        <f t="shared" ca="1" si="122"/>
        <v>0.1</v>
      </c>
      <c r="B317" s="304">
        <f t="shared" ca="1" si="123"/>
        <v>24.000000000000057</v>
      </c>
      <c r="D317" s="306">
        <f t="shared" ca="1" si="124"/>
        <v>-0.19799584862212474</v>
      </c>
      <c r="E317" s="307">
        <f t="shared" ca="1" si="125"/>
        <v>-9.7584531086922279</v>
      </c>
      <c r="F317" s="304">
        <f t="shared" ca="1" si="126"/>
        <v>9.760461537786858</v>
      </c>
      <c r="G317" s="306">
        <f t="shared" ca="1" si="127"/>
        <v>16.727177503195829</v>
      </c>
      <c r="H317" s="307">
        <f t="shared" ca="1" si="128"/>
        <v>-5.3358084802961212</v>
      </c>
      <c r="I317" s="304">
        <f t="shared" ca="1" si="129"/>
        <v>17.557600045616162</v>
      </c>
      <c r="J317" s="306">
        <f t="shared" ca="1" si="130"/>
        <v>535.03002179112571</v>
      </c>
      <c r="K317" s="307">
        <f t="shared" ca="1" si="131"/>
        <v>2970.5571458293653</v>
      </c>
      <c r="L317" s="304">
        <f t="shared" ca="1" si="116"/>
        <v>3018.3549958306289</v>
      </c>
      <c r="M317" s="306">
        <f t="shared" ca="1" si="132"/>
        <v>-0.30878682578626238</v>
      </c>
      <c r="N317" s="304">
        <f t="shared" ca="1" si="133"/>
        <v>-17.692181886794252</v>
      </c>
      <c r="P317" s="310">
        <f t="shared" ca="1" si="134"/>
        <v>23</v>
      </c>
      <c r="Q317" s="304">
        <f t="shared" ca="1" si="135"/>
        <v>0</v>
      </c>
      <c r="R317" s="306">
        <f t="shared" ca="1" si="136"/>
        <v>0</v>
      </c>
      <c r="S317" s="307">
        <f t="shared" ca="1" si="137"/>
        <v>1.7842999999999964</v>
      </c>
      <c r="T317" s="304">
        <f t="shared" ca="1" si="117"/>
        <v>17.503982999999966</v>
      </c>
      <c r="U317" s="311">
        <f t="shared" ca="1" si="118"/>
        <v>0</v>
      </c>
      <c r="V317" s="306">
        <f t="shared" ca="1" si="119"/>
        <v>0.90816549916146283</v>
      </c>
      <c r="W317" s="304">
        <f t="shared" ca="1" si="120"/>
        <v>0.37580480429615454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>
        <f t="shared" ca="1" si="141"/>
        <v>24.000000000000057</v>
      </c>
      <c r="AD317" s="323">
        <f t="shared" ca="1" si="142"/>
        <v>535.03002179112571</v>
      </c>
      <c r="AE317" s="324" t="e">
        <f t="shared" ca="1" si="121"/>
        <v>#N/A</v>
      </c>
      <c r="AG317" s="306">
        <f t="shared" ca="1" si="143"/>
        <v>2.2669848743268175</v>
      </c>
      <c r="AH317" s="304">
        <f t="shared" ca="1" si="144"/>
        <v>-0.204595791929088</v>
      </c>
    </row>
    <row r="318" spans="1:34" x14ac:dyDescent="0.2">
      <c r="A318" s="347">
        <f t="shared" ca="1" si="122"/>
        <v>0.1</v>
      </c>
      <c r="B318" s="304">
        <f t="shared" ca="1" si="123"/>
        <v>24.100000000000058</v>
      </c>
      <c r="D318" s="306">
        <f t="shared" ca="1" si="124"/>
        <v>-0.20065591479953068</v>
      </c>
      <c r="E318" s="307">
        <f t="shared" ca="1" si="125"/>
        <v>-9.7459926962212045</v>
      </c>
      <c r="F318" s="304">
        <f t="shared" ca="1" si="126"/>
        <v>9.748058085123473</v>
      </c>
      <c r="G318" s="306">
        <f t="shared" ca="1" si="127"/>
        <v>16.707111911715877</v>
      </c>
      <c r="H318" s="307">
        <f t="shared" ca="1" si="128"/>
        <v>-6.3104077499182418</v>
      </c>
      <c r="I318" s="304">
        <f t="shared" ca="1" si="129"/>
        <v>17.8591386802619</v>
      </c>
      <c r="J318" s="306">
        <f t="shared" ca="1" si="130"/>
        <v>536.70173626187125</v>
      </c>
      <c r="K318" s="307">
        <f t="shared" ca="1" si="131"/>
        <v>2969.9748350178547</v>
      </c>
      <c r="L318" s="304">
        <f t="shared" ca="1" si="116"/>
        <v>3018.0787389241259</v>
      </c>
      <c r="M318" s="306">
        <f t="shared" ca="1" si="132"/>
        <v>-0.36114258224461349</v>
      </c>
      <c r="N318" s="304">
        <f t="shared" ca="1" si="133"/>
        <v>-20.691945765072575</v>
      </c>
      <c r="P318" s="310">
        <f t="shared" ca="1" si="134"/>
        <v>23</v>
      </c>
      <c r="Q318" s="304">
        <f t="shared" ca="1" si="135"/>
        <v>0</v>
      </c>
      <c r="R318" s="306">
        <f t="shared" ca="1" si="136"/>
        <v>0</v>
      </c>
      <c r="S318" s="307">
        <f t="shared" ca="1" si="137"/>
        <v>1.7842999999999964</v>
      </c>
      <c r="T318" s="304">
        <f t="shared" ca="1" si="117"/>
        <v>17.503982999999966</v>
      </c>
      <c r="U318" s="311">
        <f t="shared" ca="1" si="118"/>
        <v>0</v>
      </c>
      <c r="V318" s="306">
        <f t="shared" ca="1" si="119"/>
        <v>0.90821957694525746</v>
      </c>
      <c r="W318" s="304">
        <f t="shared" ca="1" si="120"/>
        <v>0.38884713501353602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 t="e">
        <f t="shared" ca="1" si="121"/>
        <v>#N/A</v>
      </c>
      <c r="AG318" s="306">
        <f t="shared" ca="1" si="143"/>
        <v>2.7706715751068409</v>
      </c>
      <c r="AH318" s="304">
        <f t="shared" ca="1" si="144"/>
        <v>-0.21061749946542357</v>
      </c>
    </row>
    <row r="319" spans="1:34" x14ac:dyDescent="0.2">
      <c r="A319" s="347">
        <f t="shared" ca="1" si="122"/>
        <v>0.1</v>
      </c>
      <c r="B319" s="304">
        <f t="shared" ca="1" si="123"/>
        <v>24.20000000000006</v>
      </c>
      <c r="D319" s="306">
        <f t="shared" ca="1" si="124"/>
        <v>-0.20386933205247609</v>
      </c>
      <c r="E319" s="307">
        <f t="shared" ca="1" si="125"/>
        <v>-9.7329969476620057</v>
      </c>
      <c r="F319" s="304">
        <f t="shared" ca="1" si="126"/>
        <v>9.7351318577484829</v>
      </c>
      <c r="G319" s="306">
        <f t="shared" ca="1" si="127"/>
        <v>16.686724978510629</v>
      </c>
      <c r="H319" s="307">
        <f t="shared" ca="1" si="128"/>
        <v>-7.2837074446844428</v>
      </c>
      <c r="I319" s="304">
        <f t="shared" ca="1" si="129"/>
        <v>18.207119065030639</v>
      </c>
      <c r="J319" s="306">
        <f t="shared" ca="1" si="130"/>
        <v>538.37142810638261</v>
      </c>
      <c r="K319" s="307">
        <f t="shared" ca="1" si="131"/>
        <v>2969.2951292581247</v>
      </c>
      <c r="L319" s="304">
        <f t="shared" ca="1" si="116"/>
        <v>3017.7073017834796</v>
      </c>
      <c r="M319" s="306">
        <f t="shared" ca="1" si="132"/>
        <v>-0.41156837259558837</v>
      </c>
      <c r="N319" s="304">
        <f t="shared" ca="1" si="133"/>
        <v>-23.581130730794943</v>
      </c>
      <c r="P319" s="310">
        <f t="shared" ca="1" si="134"/>
        <v>23</v>
      </c>
      <c r="Q319" s="304">
        <f t="shared" ca="1" si="135"/>
        <v>0</v>
      </c>
      <c r="R319" s="306">
        <f t="shared" ca="1" si="136"/>
        <v>0</v>
      </c>
      <c r="S319" s="307">
        <f t="shared" ca="1" si="137"/>
        <v>1.7842999999999964</v>
      </c>
      <c r="T319" s="304">
        <f t="shared" ca="1" si="117"/>
        <v>17.503982999999966</v>
      </c>
      <c r="U319" s="311">
        <f t="shared" ca="1" si="118"/>
        <v>0</v>
      </c>
      <c r="V319" s="306">
        <f t="shared" ca="1" si="119"/>
        <v>0.90828270302836389</v>
      </c>
      <c r="W319" s="304">
        <f t="shared" ca="1" si="120"/>
        <v>0.40417601105431672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 t="e">
        <f t="shared" ca="1" si="121"/>
        <v>#N/A</v>
      </c>
      <c r="AG319" s="306">
        <f t="shared" ca="1" si="143"/>
        <v>3.2483711930971291</v>
      </c>
      <c r="AH319" s="304">
        <f t="shared" ca="1" si="144"/>
        <v>-0.21792699378665964</v>
      </c>
    </row>
    <row r="320" spans="1:34" x14ac:dyDescent="0.2">
      <c r="A320" s="347">
        <f t="shared" ca="1" si="122"/>
        <v>0.1</v>
      </c>
      <c r="B320" s="304">
        <f t="shared" ca="1" si="123"/>
        <v>24.300000000000061</v>
      </c>
      <c r="D320" s="306">
        <f t="shared" ca="1" si="124"/>
        <v>-0.20760247836236265</v>
      </c>
      <c r="E320" s="307">
        <f t="shared" ca="1" si="125"/>
        <v>-9.719382115476213</v>
      </c>
      <c r="F320" s="304">
        <f t="shared" ca="1" si="126"/>
        <v>9.7215990194854811</v>
      </c>
      <c r="G320" s="306">
        <f t="shared" ca="1" si="127"/>
        <v>16.665964730674393</v>
      </c>
      <c r="H320" s="307">
        <f t="shared" ca="1" si="128"/>
        <v>-8.2556456562320637</v>
      </c>
      <c r="I320" s="304">
        <f t="shared" ca="1" si="129"/>
        <v>18.598657629123295</v>
      </c>
      <c r="J320" s="306">
        <f t="shared" ca="1" si="130"/>
        <v>540.03906259184191</v>
      </c>
      <c r="K320" s="307">
        <f t="shared" ca="1" si="131"/>
        <v>2968.5181616030791</v>
      </c>
      <c r="L320" s="304">
        <f t="shared" ca="1" si="116"/>
        <v>3017.2408364087214</v>
      </c>
      <c r="M320" s="306">
        <f t="shared" ca="1" si="132"/>
        <v>-0.45992840429604054</v>
      </c>
      <c r="N320" s="304">
        <f t="shared" ca="1" si="133"/>
        <v>-26.351956444349725</v>
      </c>
      <c r="P320" s="310">
        <f t="shared" ca="1" si="134"/>
        <v>23</v>
      </c>
      <c r="Q320" s="304">
        <f t="shared" ca="1" si="135"/>
        <v>0</v>
      </c>
      <c r="R320" s="306">
        <f t="shared" ca="1" si="136"/>
        <v>0</v>
      </c>
      <c r="S320" s="307">
        <f t="shared" ca="1" si="137"/>
        <v>1.7842999999999964</v>
      </c>
      <c r="T320" s="304">
        <f t="shared" ca="1" si="117"/>
        <v>17.503982999999966</v>
      </c>
      <c r="U320" s="311">
        <f t="shared" ca="1" si="118"/>
        <v>0</v>
      </c>
      <c r="V320" s="306">
        <f t="shared" ca="1" si="119"/>
        <v>0.90835486665893239</v>
      </c>
      <c r="W320" s="304">
        <f t="shared" ca="1" si="120"/>
        <v>0.42177979570397256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 t="e">
        <f t="shared" ca="1" si="121"/>
        <v>#N/A</v>
      </c>
      <c r="AG320" s="306">
        <f t="shared" ca="1" si="143"/>
        <v>3.697945302079765</v>
      </c>
      <c r="AH320" s="304">
        <f t="shared" ca="1" si="144"/>
        <v>-0.22651796842140756</v>
      </c>
    </row>
    <row r="321" spans="1:34" x14ac:dyDescent="0.2">
      <c r="A321" s="347">
        <f t="shared" ca="1" si="122"/>
        <v>0.1</v>
      </c>
      <c r="B321" s="304">
        <f t="shared" ca="1" si="123"/>
        <v>24.400000000000063</v>
      </c>
      <c r="D321" s="306">
        <f t="shared" ca="1" si="124"/>
        <v>-0.21181989831000878</v>
      </c>
      <c r="E321" s="307">
        <f t="shared" ca="1" si="125"/>
        <v>-9.7050729794736714</v>
      </c>
      <c r="F321" s="304">
        <f t="shared" ca="1" si="126"/>
        <v>9.7073842617993655</v>
      </c>
      <c r="G321" s="306">
        <f t="shared" ca="1" si="127"/>
        <v>16.644782740843393</v>
      </c>
      <c r="H321" s="307">
        <f t="shared" ca="1" si="128"/>
        <v>-9.2261529541794314</v>
      </c>
      <c r="I321" s="304">
        <f t="shared" ca="1" si="129"/>
        <v>19.03078271705586</v>
      </c>
      <c r="J321" s="306">
        <f t="shared" ca="1" si="130"/>
        <v>541.70459996541786</v>
      </c>
      <c r="K321" s="307">
        <f t="shared" ca="1" si="131"/>
        <v>2967.6440716725583</v>
      </c>
      <c r="L321" s="304">
        <f t="shared" ca="1" si="116"/>
        <v>3016.6795006690672</v>
      </c>
      <c r="M321" s="306">
        <f t="shared" ca="1" si="132"/>
        <v>-0.50613625566685083</v>
      </c>
      <c r="N321" s="304">
        <f t="shared" ca="1" si="133"/>
        <v>-28.999471308264948</v>
      </c>
      <c r="P321" s="310">
        <f t="shared" ca="1" si="134"/>
        <v>23</v>
      </c>
      <c r="Q321" s="304">
        <f t="shared" ca="1" si="135"/>
        <v>0</v>
      </c>
      <c r="R321" s="306">
        <f t="shared" ca="1" si="136"/>
        <v>0</v>
      </c>
      <c r="S321" s="307">
        <f t="shared" ca="1" si="137"/>
        <v>1.7842999999999964</v>
      </c>
      <c r="T321" s="304">
        <f t="shared" ca="1" si="117"/>
        <v>17.503982999999966</v>
      </c>
      <c r="U321" s="311">
        <f t="shared" ca="1" si="118"/>
        <v>0</v>
      </c>
      <c r="V321" s="306">
        <f t="shared" ca="1" si="119"/>
        <v>0.90843605670181848</v>
      </c>
      <c r="W321" s="304">
        <f t="shared" ca="1" si="120"/>
        <v>0.44164639525785887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 t="e">
        <f t="shared" ca="1" si="121"/>
        <v>#N/A</v>
      </c>
      <c r="AG321" s="306">
        <f t="shared" ca="1" si="143"/>
        <v>4.1181176705992053</v>
      </c>
      <c r="AH321" s="304">
        <f t="shared" ca="1" si="144"/>
        <v>-0.2363839016443274</v>
      </c>
    </row>
    <row r="322" spans="1:34" x14ac:dyDescent="0.2">
      <c r="A322" s="347">
        <f t="shared" ca="1" si="122"/>
        <v>0.1</v>
      </c>
      <c r="B322" s="304">
        <f t="shared" ca="1" si="123"/>
        <v>24.500000000000064</v>
      </c>
      <c r="D322" s="306">
        <f t="shared" ca="1" si="124"/>
        <v>-0.2164852415989619</v>
      </c>
      <c r="E322" s="307">
        <f t="shared" ca="1" si="125"/>
        <v>-9.6900028824399485</v>
      </c>
      <c r="F322" s="304">
        <f t="shared" ca="1" si="126"/>
        <v>9.6924208390641322</v>
      </c>
      <c r="G322" s="306">
        <f t="shared" ca="1" si="127"/>
        <v>16.623134216683496</v>
      </c>
      <c r="H322" s="307">
        <f t="shared" ca="1" si="128"/>
        <v>-10.195153242423427</v>
      </c>
      <c r="I322" s="304">
        <f t="shared" ca="1" si="129"/>
        <v>19.500506168363181</v>
      </c>
      <c r="J322" s="306">
        <f t="shared" ca="1" si="130"/>
        <v>543.36799581329421</v>
      </c>
      <c r="K322" s="307">
        <f t="shared" ca="1" si="131"/>
        <v>2966.6730063627283</v>
      </c>
      <c r="L322" s="304">
        <f t="shared" ca="1" si="116"/>
        <v>3016.0234590525693</v>
      </c>
      <c r="M322" s="306">
        <f t="shared" ca="1" si="132"/>
        <v>-0.55014964665252419</v>
      </c>
      <c r="N322" s="304">
        <f t="shared" ca="1" si="133"/>
        <v>-31.521252853803176</v>
      </c>
      <c r="P322" s="310">
        <f t="shared" ca="1" si="134"/>
        <v>23</v>
      </c>
      <c r="Q322" s="304">
        <f t="shared" ca="1" si="135"/>
        <v>0</v>
      </c>
      <c r="R322" s="306">
        <f t="shared" ca="1" si="136"/>
        <v>0</v>
      </c>
      <c r="S322" s="307">
        <f t="shared" ca="1" si="137"/>
        <v>1.7842999999999964</v>
      </c>
      <c r="T322" s="304">
        <f t="shared" ca="1" si="117"/>
        <v>17.503982999999966</v>
      </c>
      <c r="U322" s="311">
        <f t="shared" ca="1" si="118"/>
        <v>0</v>
      </c>
      <c r="V322" s="306">
        <f t="shared" ca="1" si="119"/>
        <v>0.9085262615714933</v>
      </c>
      <c r="W322" s="304">
        <f t="shared" ca="1" si="120"/>
        <v>0.46376319483269313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 t="e">
        <f t="shared" ca="1" si="121"/>
        <v>#N/A</v>
      </c>
      <c r="AG322" s="306">
        <f t="shared" ca="1" si="143"/>
        <v>4.5083851874322773</v>
      </c>
      <c r="AH322" s="304">
        <f t="shared" ca="1" si="144"/>
        <v>-0.24751801561276676</v>
      </c>
    </row>
    <row r="323" spans="1:34" x14ac:dyDescent="0.2">
      <c r="A323" s="347">
        <f t="shared" ca="1" si="122"/>
        <v>0.1</v>
      </c>
      <c r="B323" s="304">
        <f t="shared" ca="1" si="123"/>
        <v>24.600000000000065</v>
      </c>
      <c r="D323" s="306">
        <f t="shared" ca="1" si="124"/>
        <v>-0.22156207856545224</v>
      </c>
      <c r="E323" s="307">
        <f t="shared" ca="1" si="125"/>
        <v>-9.6741135110719636</v>
      </c>
      <c r="F323" s="304">
        <f t="shared" ca="1" si="126"/>
        <v>9.6766503491530251</v>
      </c>
      <c r="G323" s="306">
        <f t="shared" ca="1" si="127"/>
        <v>16.600978008826949</v>
      </c>
      <c r="H323" s="307">
        <f t="shared" ca="1" si="128"/>
        <v>-11.162564593530623</v>
      </c>
      <c r="I323" s="304">
        <f t="shared" ca="1" si="129"/>
        <v>20.004882382915913</v>
      </c>
      <c r="J323" s="306">
        <f t="shared" ca="1" si="130"/>
        <v>545.02920142456969</v>
      </c>
      <c r="K323" s="307">
        <f t="shared" ca="1" si="131"/>
        <v>2965.6051204709306</v>
      </c>
      <c r="L323" s="304">
        <f t="shared" ca="1" si="116"/>
        <v>3015.2728833339288</v>
      </c>
      <c r="M323" s="306">
        <f t="shared" ca="1" si="132"/>
        <v>-0.59196411665988269</v>
      </c>
      <c r="N323" s="304">
        <f t="shared" ca="1" si="133"/>
        <v>-33.917045507801184</v>
      </c>
      <c r="P323" s="310">
        <f t="shared" ca="1" si="134"/>
        <v>23</v>
      </c>
      <c r="Q323" s="304">
        <f t="shared" ca="1" si="135"/>
        <v>0</v>
      </c>
      <c r="R323" s="306">
        <f t="shared" ca="1" si="136"/>
        <v>0</v>
      </c>
      <c r="S323" s="307">
        <f t="shared" ca="1" si="137"/>
        <v>1.7842999999999964</v>
      </c>
      <c r="T323" s="304">
        <f t="shared" ca="1" si="117"/>
        <v>17.503982999999966</v>
      </c>
      <c r="U323" s="311">
        <f t="shared" ca="1" si="118"/>
        <v>0</v>
      </c>
      <c r="V323" s="306">
        <f t="shared" ca="1" si="119"/>
        <v>0.90862546917271103</v>
      </c>
      <c r="W323" s="304">
        <f t="shared" ca="1" si="120"/>
        <v>0.4881170027528533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 t="e">
        <f t="shared" ca="1" si="121"/>
        <v>#N/A</v>
      </c>
      <c r="AG323" s="306">
        <f t="shared" ca="1" si="143"/>
        <v>4.8688999526942132</v>
      </c>
      <c r="AH323" s="304">
        <f t="shared" ca="1" si="144"/>
        <v>-0.2599132403926997</v>
      </c>
    </row>
    <row r="324" spans="1:34" x14ac:dyDescent="0.2">
      <c r="A324" s="347">
        <f t="shared" ca="1" si="122"/>
        <v>0.1</v>
      </c>
      <c r="B324" s="304">
        <f t="shared" ca="1" si="123"/>
        <v>24.700000000000067</v>
      </c>
      <c r="D324" s="306">
        <f t="shared" ca="1" si="124"/>
        <v>-0.22701457042446496</v>
      </c>
      <c r="E324" s="307">
        <f t="shared" ca="1" si="125"/>
        <v>-9.6573544869050316</v>
      </c>
      <c r="F324" s="304">
        <f t="shared" ca="1" si="126"/>
        <v>9.6600223240388914</v>
      </c>
      <c r="G324" s="306">
        <f t="shared" ca="1" si="127"/>
        <v>16.578276551784501</v>
      </c>
      <c r="H324" s="307">
        <f t="shared" ca="1" si="128"/>
        <v>-12.128300042221127</v>
      </c>
      <c r="I324" s="304">
        <f t="shared" ca="1" si="129"/>
        <v>20.541054387289588</v>
      </c>
      <c r="J324" s="306">
        <f t="shared" ca="1" si="130"/>
        <v>546.68816415260028</v>
      </c>
      <c r="K324" s="307">
        <f t="shared" ca="1" si="131"/>
        <v>2964.4405772391428</v>
      </c>
      <c r="L324" s="304">
        <f t="shared" ref="L324:L387" ca="1" si="145">SQRT(pos_x^2+pos_z^2)</f>
        <v>3014.4279531623379</v>
      </c>
      <c r="M324" s="306">
        <f t="shared" ca="1" si="132"/>
        <v>-0.63160631243870113</v>
      </c>
      <c r="N324" s="304">
        <f t="shared" ca="1" si="133"/>
        <v>-36.188376016558806</v>
      </c>
      <c r="P324" s="310">
        <f t="shared" ca="1" si="134"/>
        <v>23</v>
      </c>
      <c r="Q324" s="304">
        <f t="shared" ca="1" si="135"/>
        <v>0</v>
      </c>
      <c r="R324" s="306">
        <f t="shared" ca="1" si="136"/>
        <v>0</v>
      </c>
      <c r="S324" s="307">
        <f t="shared" ca="1" si="137"/>
        <v>1.7842999999999964</v>
      </c>
      <c r="T324" s="304">
        <f t="shared" ref="T324:T387" ca="1" si="146">m*g</f>
        <v>17.503982999999966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0.90873366684863244</v>
      </c>
      <c r="W324" s="304">
        <f t="shared" ref="W324:W387" ca="1" si="149">1/2*Rho*Sref*Cx*vit_xz^2</f>
        <v>0.51469400315951574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 t="e">
        <f t="shared" ref="AE324:AE387" ca="1" si="150">IF(t&lt;T_para, pos_z, NA())</f>
        <v>#N/A</v>
      </c>
      <c r="AG324" s="306">
        <f t="shared" ca="1" si="143"/>
        <v>5.2003394661416955</v>
      </c>
      <c r="AH324" s="304">
        <f t="shared" ca="1" si="144"/>
        <v>-0.27356218279036837</v>
      </c>
    </row>
    <row r="325" spans="1:34" x14ac:dyDescent="0.2">
      <c r="A325" s="347">
        <f t="shared" ref="A325:A388" ca="1" si="151">IF(B324+0.01&lt;=T_ini+ROUNDUP(Temps_fin_propu,0), 0.01, IF(K324&gt;0, 0.1, 0.0001))</f>
        <v>0.1</v>
      </c>
      <c r="B325" s="304">
        <f t="shared" ref="B325:B388" ca="1" si="152">B324+pas</f>
        <v>24.800000000000068</v>
      </c>
      <c r="D325" s="306">
        <f t="shared" ref="D325:D388" ca="1" si="153">IF(AND(L324&lt;L_rampe,Poussee&lt;Poids*SIN(M324)),0,(-W324+Poussee)/m*COS(M324)-U324/m*SIN(M324))</f>
        <v>-0.23280798947899242</v>
      </c>
      <c r="E325" s="307">
        <f t="shared" ref="E325:E388" ca="1" si="154">IF(AND(L324&lt;L_rampe,Poussee&lt;Poids*SIN(M324)),0,(-W324+Poussee)/m*SIN(M324)+U324/m*COS(M324)-Poids/m)</f>
        <v>-9.639682829828077</v>
      </c>
      <c r="F325" s="304">
        <f t="shared" ref="F325:F388" ca="1" si="155">SQRT(acc_x^2+acc_z^2)</f>
        <v>9.642493693005326</v>
      </c>
      <c r="G325" s="306">
        <f t="shared" ref="G325:G388" ca="1" si="156">G324+acc_x*pas</f>
        <v>16.554995752836604</v>
      </c>
      <c r="H325" s="307">
        <f t="shared" ref="H325:H388" ca="1" si="157">H324+acc_z*pas</f>
        <v>-13.092268325203936</v>
      </c>
      <c r="I325" s="304">
        <f t="shared" ref="I325:I388" ca="1" si="158">SQRT(vit_x^2+vit_z^2)</f>
        <v>21.106287553133928</v>
      </c>
      <c r="J325" s="306">
        <f t="shared" ref="J325:J388" ca="1" si="159">J324+0.5*(vit_x+G324)*pas*(K324&gt;=0)</f>
        <v>548.34482776783136</v>
      </c>
      <c r="K325" s="307">
        <f t="shared" ref="K325:K388" ca="1" si="160">K324+0.5*(vit_z+H324)*pas</f>
        <v>2963.1795488207717</v>
      </c>
      <c r="L325" s="304">
        <f t="shared" ca="1" si="145"/>
        <v>3013.4888565729598</v>
      </c>
      <c r="M325" s="306">
        <f t="shared" ref="M325:M388" ca="1" si="161">IF(AND(L324&gt;L_rampe,G325&gt;0),ATAN2(G325,H325),$M$4)</f>
        <v>-0.66912742534983682</v>
      </c>
      <c r="N325" s="304">
        <f t="shared" ref="N325:N388" ca="1" si="162">DEGREES(Beta)</f>
        <v>-38.338177429000702</v>
      </c>
      <c r="P325" s="310">
        <f t="shared" ref="P325:P388" ca="1" si="163">MATCH(t-pas/2-T_ini,CdP_t)</f>
        <v>23</v>
      </c>
      <c r="Q325" s="304">
        <f t="shared" ref="Q325:Q388" ca="1" si="164">(INDEX(CdP,2,i_P+1)-INDEX(CdP,2,i_P+0))/(INDEX(CdP,1,i_P+1)-INDEX(CdP,1,i_P+0))*(t-pas/2-T_ini-INDEX(CdP,1,i_P+0))+INDEX(CdP,2,i_P+0)</f>
        <v>0</v>
      </c>
      <c r="R325" s="306">
        <f t="shared" ref="R325:R388" ca="1" si="165">Poussee/(g*ISP)</f>
        <v>0</v>
      </c>
      <c r="S325" s="307">
        <f t="shared" ref="S325:S388" ca="1" si="166">S324-Débit*pas</f>
        <v>1.7842999999999964</v>
      </c>
      <c r="T325" s="304">
        <f t="shared" ca="1" si="146"/>
        <v>17.503982999999966</v>
      </c>
      <c r="U325" s="311">
        <f t="shared" ca="1" si="147"/>
        <v>0</v>
      </c>
      <c r="V325" s="306">
        <f t="shared" ca="1" si="148"/>
        <v>0.90885084133596372</v>
      </c>
      <c r="W325" s="304">
        <f t="shared" ca="1" si="149"/>
        <v>0.54347971634856251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 t="e">
        <f t="shared" ca="1" si="150"/>
        <v>#N/A</v>
      </c>
      <c r="AG325" s="306">
        <f t="shared" ref="AG325:AG388" ca="1" si="172">IF(AND(L324&lt;L_rampe,Poussee&lt;Poids*SIN(M324)),0,(-W324+Poussee)/m-Poids*SIN(M324)/m)</f>
        <v>5.5037783507797817</v>
      </c>
      <c r="AH325" s="304">
        <f t="shared" ref="AH325:AH388" ca="1" si="173">IF(AND(L324&lt;L_rampe,Poussee&lt;Poids*SIN(M324)), g*SIN(M324), (-W324+Poussee)/m)</f>
        <v>-0.28845709979236495</v>
      </c>
    </row>
    <row r="326" spans="1:34" x14ac:dyDescent="0.2">
      <c r="A326" s="347">
        <f t="shared" ca="1" si="151"/>
        <v>0.1</v>
      </c>
      <c r="B326" s="304">
        <f t="shared" ca="1" si="152"/>
        <v>24.90000000000007</v>
      </c>
      <c r="D326" s="306">
        <f t="shared" ca="1" si="153"/>
        <v>-0.23890909741592872</v>
      </c>
      <c r="E326" s="307">
        <f t="shared" ca="1" si="154"/>
        <v>-9.6210623490697262</v>
      </c>
      <c r="F326" s="304">
        <f t="shared" ca="1" si="155"/>
        <v>9.6240281733541888</v>
      </c>
      <c r="G326" s="306">
        <f t="shared" ca="1" si="156"/>
        <v>16.531104843095012</v>
      </c>
      <c r="H326" s="307">
        <f t="shared" ca="1" si="157"/>
        <v>-14.054374560110908</v>
      </c>
      <c r="I326" s="304">
        <f t="shared" ca="1" si="158"/>
        <v>21.697992340520635</v>
      </c>
      <c r="J326" s="306">
        <f t="shared" ca="1" si="159"/>
        <v>549.99913279762791</v>
      </c>
      <c r="K326" s="307">
        <f t="shared" ca="1" si="160"/>
        <v>2961.8222166765058</v>
      </c>
      <c r="L326" s="304">
        <f t="shared" ca="1" si="145"/>
        <v>3012.4557904269186</v>
      </c>
      <c r="M326" s="306">
        <f t="shared" ca="1" si="161"/>
        <v>-0.70459714427706355</v>
      </c>
      <c r="N326" s="304">
        <f t="shared" ca="1" si="162"/>
        <v>-40.370442624046085</v>
      </c>
      <c r="P326" s="310">
        <f t="shared" ca="1" si="163"/>
        <v>23</v>
      </c>
      <c r="Q326" s="304">
        <f t="shared" ca="1" si="164"/>
        <v>0</v>
      </c>
      <c r="R326" s="306">
        <f t="shared" ca="1" si="165"/>
        <v>0</v>
      </c>
      <c r="S326" s="307">
        <f t="shared" ca="1" si="166"/>
        <v>1.7842999999999964</v>
      </c>
      <c r="T326" s="304">
        <f t="shared" ca="1" si="146"/>
        <v>17.503982999999966</v>
      </c>
      <c r="U326" s="311">
        <f t="shared" ca="1" si="147"/>
        <v>0</v>
      </c>
      <c r="V326" s="306">
        <f t="shared" ca="1" si="148"/>
        <v>0.90897697872657179</v>
      </c>
      <c r="W326" s="304">
        <f t="shared" ca="1" si="149"/>
        <v>0.57445896625618165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 t="e">
        <f t="shared" ca="1" si="150"/>
        <v>#N/A</v>
      </c>
      <c r="AG326" s="306">
        <f t="shared" ca="1" si="172"/>
        <v>5.7805708582032054</v>
      </c>
      <c r="AH326" s="304">
        <f t="shared" ca="1" si="173"/>
        <v>-0.30458987633725471</v>
      </c>
    </row>
    <row r="327" spans="1:34" x14ac:dyDescent="0.2">
      <c r="A327" s="347">
        <f t="shared" ca="1" si="151"/>
        <v>0.1</v>
      </c>
      <c r="B327" s="304">
        <f t="shared" ca="1" si="152"/>
        <v>25.000000000000071</v>
      </c>
      <c r="D327" s="306">
        <f t="shared" ca="1" si="153"/>
        <v>-0.24528639793836668</v>
      </c>
      <c r="E327" s="307">
        <f t="shared" ca="1" si="154"/>
        <v>-9.6014630060212731</v>
      </c>
      <c r="F327" s="304">
        <f t="shared" ca="1" si="155"/>
        <v>9.6045956329774054</v>
      </c>
      <c r="G327" s="306">
        <f t="shared" ca="1" si="156"/>
        <v>16.506576203301176</v>
      </c>
      <c r="H327" s="307">
        <f t="shared" ca="1" si="157"/>
        <v>-15.014520860713036</v>
      </c>
      <c r="I327" s="304">
        <f t="shared" ca="1" si="158"/>
        <v>22.313737800560794</v>
      </c>
      <c r="J327" s="306">
        <f t="shared" ca="1" si="159"/>
        <v>551.65101684994772</v>
      </c>
      <c r="K327" s="307">
        <f t="shared" ca="1" si="160"/>
        <v>2960.3687719054647</v>
      </c>
      <c r="L327" s="304">
        <f t="shared" ca="1" si="145"/>
        <v>3011.3289607853621</v>
      </c>
      <c r="M327" s="306">
        <f t="shared" ca="1" si="161"/>
        <v>-0.73809833555528093</v>
      </c>
      <c r="N327" s="304">
        <f t="shared" ca="1" si="162"/>
        <v>-42.289919492948428</v>
      </c>
      <c r="P327" s="310">
        <f t="shared" ca="1" si="163"/>
        <v>23</v>
      </c>
      <c r="Q327" s="304">
        <f t="shared" ca="1" si="164"/>
        <v>0</v>
      </c>
      <c r="R327" s="306">
        <f t="shared" ca="1" si="165"/>
        <v>0</v>
      </c>
      <c r="S327" s="307">
        <f t="shared" ca="1" si="166"/>
        <v>1.7842999999999964</v>
      </c>
      <c r="T327" s="304">
        <f t="shared" ca="1" si="146"/>
        <v>17.503982999999966</v>
      </c>
      <c r="U327" s="311">
        <f t="shared" ca="1" si="147"/>
        <v>0</v>
      </c>
      <c r="V327" s="306">
        <f t="shared" ca="1" si="148"/>
        <v>0.9091120644349967</v>
      </c>
      <c r="W327" s="304">
        <f t="shared" ca="1" si="149"/>
        <v>0.60761585447005206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>
        <f t="shared" ca="1" si="170"/>
        <v>25.000000000000071</v>
      </c>
      <c r="AD327" s="323">
        <f t="shared" ca="1" si="171"/>
        <v>551.65101684994772</v>
      </c>
      <c r="AE327" s="324" t="e">
        <f t="shared" ca="1" si="150"/>
        <v>#N/A</v>
      </c>
      <c r="AG327" s="306">
        <f t="shared" ca="1" si="172"/>
        <v>6.0322494448639166</v>
      </c>
      <c r="AH327" s="304">
        <f t="shared" ca="1" si="173"/>
        <v>-0.32195200709308008</v>
      </c>
    </row>
    <row r="328" spans="1:34" x14ac:dyDescent="0.2">
      <c r="A328" s="347">
        <f t="shared" ca="1" si="151"/>
        <v>0.1</v>
      </c>
      <c r="B328" s="304">
        <f t="shared" ca="1" si="152"/>
        <v>25.100000000000072</v>
      </c>
      <c r="D328" s="306">
        <f t="shared" ca="1" si="153"/>
        <v>-0.25191028397401855</v>
      </c>
      <c r="E328" s="307">
        <f t="shared" ca="1" si="154"/>
        <v>-9.5808602821583548</v>
      </c>
      <c r="F328" s="304">
        <f t="shared" ca="1" si="155"/>
        <v>9.5841714580557955</v>
      </c>
      <c r="G328" s="306">
        <f t="shared" ca="1" si="156"/>
        <v>16.481385174903775</v>
      </c>
      <c r="H328" s="307">
        <f t="shared" ca="1" si="157"/>
        <v>-15.972606888928871</v>
      </c>
      <c r="I328" s="304">
        <f t="shared" ca="1" si="158"/>
        <v>22.951257658607641</v>
      </c>
      <c r="J328" s="306">
        <f t="shared" ca="1" si="159"/>
        <v>553.300414918858</v>
      </c>
      <c r="K328" s="307">
        <f t="shared" ca="1" si="160"/>
        <v>2958.8194155179826</v>
      </c>
      <c r="L328" s="304">
        <f t="shared" ca="1" si="145"/>
        <v>3010.1085832234617</v>
      </c>
      <c r="M328" s="306">
        <f t="shared" ca="1" si="161"/>
        <v>-0.76972253831340498</v>
      </c>
      <c r="N328" s="304">
        <f t="shared" ca="1" si="162"/>
        <v>-44.101852841454914</v>
      </c>
      <c r="P328" s="310">
        <f t="shared" ca="1" si="163"/>
        <v>23</v>
      </c>
      <c r="Q328" s="304">
        <f t="shared" ca="1" si="164"/>
        <v>0</v>
      </c>
      <c r="R328" s="306">
        <f t="shared" ca="1" si="165"/>
        <v>0</v>
      </c>
      <c r="S328" s="307">
        <f t="shared" ca="1" si="166"/>
        <v>1.7842999999999964</v>
      </c>
      <c r="T328" s="304">
        <f t="shared" ca="1" si="146"/>
        <v>17.503982999999966</v>
      </c>
      <c r="U328" s="311">
        <f t="shared" ca="1" si="147"/>
        <v>0</v>
      </c>
      <c r="V328" s="306">
        <f t="shared" ca="1" si="148"/>
        <v>0.90925608317127393</v>
      </c>
      <c r="W328" s="304">
        <f t="shared" ca="1" si="149"/>
        <v>0.64293374013843385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 t="e">
        <f t="shared" ca="1" si="150"/>
        <v>#N/A</v>
      </c>
      <c r="AG328" s="306">
        <f t="shared" ca="1" si="172"/>
        <v>6.2604415055787044</v>
      </c>
      <c r="AH328" s="304">
        <f t="shared" ca="1" si="173"/>
        <v>-0.34053458189208835</v>
      </c>
    </row>
    <row r="329" spans="1:34" x14ac:dyDescent="0.2">
      <c r="A329" s="347">
        <f t="shared" ca="1" si="151"/>
        <v>0.1</v>
      </c>
      <c r="B329" s="304">
        <f t="shared" ca="1" si="152"/>
        <v>25.200000000000074</v>
      </c>
      <c r="D329" s="306">
        <f t="shared" ca="1" si="153"/>
        <v>-0.2587531005620588</v>
      </c>
      <c r="E329" s="307">
        <f t="shared" ca="1" si="154"/>
        <v>-9.559234575085199</v>
      </c>
      <c r="F329" s="304">
        <f t="shared" ca="1" si="155"/>
        <v>9.5627359489089105</v>
      </c>
      <c r="G329" s="306">
        <f t="shared" ca="1" si="156"/>
        <v>16.455509864847567</v>
      </c>
      <c r="H329" s="307">
        <f t="shared" ca="1" si="157"/>
        <v>-16.928530346437391</v>
      </c>
      <c r="I329" s="304">
        <f t="shared" ca="1" si="158"/>
        <v>23.608450703134825</v>
      </c>
      <c r="J329" s="306">
        <f t="shared" ca="1" si="159"/>
        <v>554.9472596708456</v>
      </c>
      <c r="K329" s="307">
        <f t="shared" ca="1" si="160"/>
        <v>2957.1743586562143</v>
      </c>
      <c r="L329" s="304">
        <f t="shared" ca="1" si="145"/>
        <v>3008.7948830902333</v>
      </c>
      <c r="M329" s="306">
        <f t="shared" ca="1" si="161"/>
        <v>-0.79956627569062633</v>
      </c>
      <c r="N329" s="304">
        <f t="shared" ca="1" si="162"/>
        <v>-45.811773038066519</v>
      </c>
      <c r="P329" s="310">
        <f t="shared" ca="1" si="163"/>
        <v>23</v>
      </c>
      <c r="Q329" s="304">
        <f t="shared" ca="1" si="164"/>
        <v>0</v>
      </c>
      <c r="R329" s="306">
        <f t="shared" ca="1" si="165"/>
        <v>0</v>
      </c>
      <c r="S329" s="307">
        <f t="shared" ca="1" si="166"/>
        <v>1.7842999999999964</v>
      </c>
      <c r="T329" s="304">
        <f t="shared" ca="1" si="146"/>
        <v>17.503982999999966</v>
      </c>
      <c r="U329" s="311">
        <f t="shared" ca="1" si="147"/>
        <v>0</v>
      </c>
      <c r="V329" s="306">
        <f t="shared" ca="1" si="148"/>
        <v>0.90940901891848447</v>
      </c>
      <c r="W329" s="304">
        <f t="shared" ca="1" si="149"/>
        <v>0.68039522516922502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 t="e">
        <f t="shared" ca="1" si="150"/>
        <v>#N/A</v>
      </c>
      <c r="AG329" s="306">
        <f t="shared" ca="1" si="172"/>
        <v>6.4668040731818062</v>
      </c>
      <c r="AH329" s="304">
        <f t="shared" ca="1" si="173"/>
        <v>-0.36032827447090465</v>
      </c>
    </row>
    <row r="330" spans="1:34" x14ac:dyDescent="0.2">
      <c r="A330" s="347">
        <f t="shared" ca="1" si="151"/>
        <v>0.1</v>
      </c>
      <c r="B330" s="304">
        <f t="shared" ca="1" si="152"/>
        <v>25.300000000000075</v>
      </c>
      <c r="D330" s="306">
        <f t="shared" ca="1" si="153"/>
        <v>-0.26578914330821429</v>
      </c>
      <c r="E330" s="307">
        <f t="shared" ca="1" si="154"/>
        <v>-9.5365706371178209</v>
      </c>
      <c r="F330" s="304">
        <f t="shared" ca="1" si="155"/>
        <v>9.5402737584116686</v>
      </c>
      <c r="G330" s="306">
        <f t="shared" ca="1" si="156"/>
        <v>16.428930950516747</v>
      </c>
      <c r="H330" s="307">
        <f t="shared" ca="1" si="157"/>
        <v>-17.882187410149172</v>
      </c>
      <c r="I330" s="304">
        <f t="shared" ca="1" si="158"/>
        <v>24.283377004620768</v>
      </c>
      <c r="J330" s="306">
        <f t="shared" ca="1" si="159"/>
        <v>556.59148171161382</v>
      </c>
      <c r="K330" s="307">
        <f t="shared" ca="1" si="160"/>
        <v>2955.4338227683847</v>
      </c>
      <c r="L330" s="304">
        <f t="shared" ca="1" si="145"/>
        <v>3007.3880957198185</v>
      </c>
      <c r="M330" s="306">
        <f t="shared" ca="1" si="161"/>
        <v>-0.82772812613863123</v>
      </c>
      <c r="N330" s="304">
        <f t="shared" ca="1" si="162"/>
        <v>-47.425328212015806</v>
      </c>
      <c r="P330" s="310">
        <f t="shared" ca="1" si="163"/>
        <v>23</v>
      </c>
      <c r="Q330" s="304">
        <f t="shared" ca="1" si="164"/>
        <v>0</v>
      </c>
      <c r="R330" s="306">
        <f t="shared" ca="1" si="165"/>
        <v>0</v>
      </c>
      <c r="S330" s="307">
        <f t="shared" ca="1" si="166"/>
        <v>1.7842999999999964</v>
      </c>
      <c r="T330" s="304">
        <f t="shared" ca="1" si="146"/>
        <v>17.503982999999966</v>
      </c>
      <c r="U330" s="311">
        <f t="shared" ca="1" si="147"/>
        <v>0</v>
      </c>
      <c r="V330" s="306">
        <f t="shared" ca="1" si="148"/>
        <v>0.90957085491450274</v>
      </c>
      <c r="W330" s="304">
        <f t="shared" ca="1" si="149"/>
        <v>0.71998214414737005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 t="e">
        <f t="shared" ca="1" si="150"/>
        <v>#N/A</v>
      </c>
      <c r="AG330" s="306">
        <f t="shared" ca="1" si="172"/>
        <v>6.6529748833056273</v>
      </c>
      <c r="AH330" s="304">
        <f t="shared" ca="1" si="173"/>
        <v>-0.38132333417543374</v>
      </c>
    </row>
    <row r="331" spans="1:34" x14ac:dyDescent="0.2">
      <c r="A331" s="347">
        <f t="shared" ca="1" si="151"/>
        <v>0.1</v>
      </c>
      <c r="B331" s="304">
        <f t="shared" ca="1" si="152"/>
        <v>25.400000000000077</v>
      </c>
      <c r="D331" s="306">
        <f t="shared" ca="1" si="153"/>
        <v>-0.2729946099146644</v>
      </c>
      <c r="E331" s="307">
        <f t="shared" ca="1" si="154"/>
        <v>-9.5128570640927155</v>
      </c>
      <c r="F331" s="304">
        <f t="shared" ca="1" si="155"/>
        <v>9.5167733806632775</v>
      </c>
      <c r="G331" s="306">
        <f t="shared" ca="1" si="156"/>
        <v>16.401631489525283</v>
      </c>
      <c r="H331" s="307">
        <f t="shared" ca="1" si="157"/>
        <v>-18.833473116558444</v>
      </c>
      <c r="I331" s="304">
        <f t="shared" ca="1" si="158"/>
        <v>24.974251243036637</v>
      </c>
      <c r="J331" s="306">
        <f t="shared" ca="1" si="159"/>
        <v>558.23300983361594</v>
      </c>
      <c r="K331" s="307">
        <f t="shared" ca="1" si="160"/>
        <v>2953.5980397420494</v>
      </c>
      <c r="L331" s="304">
        <f t="shared" ca="1" si="145"/>
        <v>3005.8884665995133</v>
      </c>
      <c r="M331" s="306">
        <f t="shared" ca="1" si="161"/>
        <v>-0.85430646814516398</v>
      </c>
      <c r="N331" s="304">
        <f t="shared" ca="1" si="162"/>
        <v>-48.948155035445403</v>
      </c>
      <c r="P331" s="310">
        <f t="shared" ca="1" si="163"/>
        <v>23</v>
      </c>
      <c r="Q331" s="304">
        <f t="shared" ca="1" si="164"/>
        <v>0</v>
      </c>
      <c r="R331" s="306">
        <f t="shared" ca="1" si="165"/>
        <v>0</v>
      </c>
      <c r="S331" s="307">
        <f t="shared" ca="1" si="166"/>
        <v>1.7842999999999964</v>
      </c>
      <c r="T331" s="304">
        <f t="shared" ca="1" si="146"/>
        <v>17.503982999999966</v>
      </c>
      <c r="U331" s="311">
        <f t="shared" ca="1" si="147"/>
        <v>0</v>
      </c>
      <c r="V331" s="306">
        <f t="shared" ca="1" si="148"/>
        <v>0.90974157363743124</v>
      </c>
      <c r="W331" s="304">
        <f t="shared" ca="1" si="149"/>
        <v>0.76167555844475487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 t="e">
        <f t="shared" ca="1" si="150"/>
        <v>#N/A</v>
      </c>
      <c r="AG331" s="306">
        <f t="shared" ca="1" si="172"/>
        <v>6.820537489427438</v>
      </c>
      <c r="AH331" s="304">
        <f t="shared" ca="1" si="173"/>
        <v>-0.40350958031013368</v>
      </c>
    </row>
    <row r="332" spans="1:34" x14ac:dyDescent="0.2">
      <c r="A332" s="347">
        <f t="shared" ca="1" si="151"/>
        <v>0.1</v>
      </c>
      <c r="B332" s="304">
        <f t="shared" ca="1" si="152"/>
        <v>25.500000000000078</v>
      </c>
      <c r="D332" s="306">
        <f t="shared" ca="1" si="153"/>
        <v>-0.28034751941767666</v>
      </c>
      <c r="E332" s="307">
        <f t="shared" ca="1" si="154"/>
        <v>-9.4880858371547596</v>
      </c>
      <c r="F332" s="304">
        <f t="shared" ca="1" si="155"/>
        <v>9.4922266926607044</v>
      </c>
      <c r="G332" s="306">
        <f t="shared" ca="1" si="156"/>
        <v>16.373596737583515</v>
      </c>
      <c r="H332" s="307">
        <f t="shared" ca="1" si="157"/>
        <v>-19.78228170027392</v>
      </c>
      <c r="I332" s="304">
        <f t="shared" ca="1" si="158"/>
        <v>25.679434171998377</v>
      </c>
      <c r="J332" s="306">
        <f t="shared" ca="1" si="159"/>
        <v>559.87177124497134</v>
      </c>
      <c r="K332" s="307">
        <f t="shared" ca="1" si="160"/>
        <v>2951.667252001208</v>
      </c>
      <c r="L332" s="304">
        <f t="shared" ca="1" si="145"/>
        <v>3004.2962514993997</v>
      </c>
      <c r="M332" s="306">
        <f t="shared" ca="1" si="161"/>
        <v>-0.87939779927735673</v>
      </c>
      <c r="N332" s="304">
        <f t="shared" ca="1" si="162"/>
        <v>-50.385782411685256</v>
      </c>
      <c r="P332" s="310">
        <f t="shared" ca="1" si="163"/>
        <v>23</v>
      </c>
      <c r="Q332" s="304">
        <f t="shared" ca="1" si="164"/>
        <v>0</v>
      </c>
      <c r="R332" s="306">
        <f t="shared" ca="1" si="165"/>
        <v>0</v>
      </c>
      <c r="S332" s="307">
        <f t="shared" ca="1" si="166"/>
        <v>1.7842999999999964</v>
      </c>
      <c r="T332" s="304">
        <f t="shared" ca="1" si="146"/>
        <v>17.503982999999966</v>
      </c>
      <c r="U332" s="311">
        <f t="shared" ca="1" si="147"/>
        <v>0</v>
      </c>
      <c r="V332" s="306">
        <f t="shared" ca="1" si="148"/>
        <v>0.9099211567942882</v>
      </c>
      <c r="W332" s="304">
        <f t="shared" ca="1" si="149"/>
        <v>0.80545575404667602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 t="e">
        <f t="shared" ca="1" si="150"/>
        <v>#N/A</v>
      </c>
      <c r="AG332" s="306">
        <f t="shared" ca="1" si="172"/>
        <v>6.9709978947898756</v>
      </c>
      <c r="AH332" s="304">
        <f t="shared" ca="1" si="173"/>
        <v>-0.42687639883694245</v>
      </c>
    </row>
    <row r="333" spans="1:34" x14ac:dyDescent="0.2">
      <c r="A333" s="347">
        <f t="shared" ca="1" si="151"/>
        <v>0.1</v>
      </c>
      <c r="B333" s="304">
        <f t="shared" ca="1" si="152"/>
        <v>25.60000000000008</v>
      </c>
      <c r="D333" s="306">
        <f t="shared" ca="1" si="153"/>
        <v>-0.28782761085809883</v>
      </c>
      <c r="E333" s="307">
        <f t="shared" ca="1" si="154"/>
        <v>-9.4622519168899455</v>
      </c>
      <c r="F333" s="304">
        <f t="shared" ca="1" si="155"/>
        <v>9.4666285483407311</v>
      </c>
      <c r="G333" s="306">
        <f t="shared" ca="1" si="156"/>
        <v>16.344813976497704</v>
      </c>
      <c r="H333" s="307">
        <f t="shared" ca="1" si="157"/>
        <v>-20.728506891962915</v>
      </c>
      <c r="I333" s="304">
        <f t="shared" ca="1" si="158"/>
        <v>26.397423016204986</v>
      </c>
      <c r="J333" s="306">
        <f t="shared" ca="1" si="159"/>
        <v>561.50769178067537</v>
      </c>
      <c r="K333" s="307">
        <f t="shared" ca="1" si="160"/>
        <v>2949.6417125715961</v>
      </c>
      <c r="L333" s="304">
        <f t="shared" ca="1" si="145"/>
        <v>3002.6117165679548</v>
      </c>
      <c r="M333" s="306">
        <f t="shared" ca="1" si="161"/>
        <v>-0.90309553024234701</v>
      </c>
      <c r="N333" s="304">
        <f t="shared" ca="1" si="162"/>
        <v>-51.743562380015682</v>
      </c>
      <c r="P333" s="310">
        <f t="shared" ca="1" si="163"/>
        <v>23</v>
      </c>
      <c r="Q333" s="304">
        <f t="shared" ca="1" si="164"/>
        <v>0</v>
      </c>
      <c r="R333" s="306">
        <f t="shared" ca="1" si="165"/>
        <v>0</v>
      </c>
      <c r="S333" s="307">
        <f t="shared" ca="1" si="166"/>
        <v>1.7842999999999964</v>
      </c>
      <c r="T333" s="304">
        <f t="shared" ca="1" si="146"/>
        <v>17.503982999999966</v>
      </c>
      <c r="U333" s="311">
        <f t="shared" ca="1" si="147"/>
        <v>0</v>
      </c>
      <c r="V333" s="306">
        <f t="shared" ca="1" si="148"/>
        <v>0.91010958531253516</v>
      </c>
      <c r="W333" s="304">
        <f t="shared" ca="1" si="149"/>
        <v>0.8513022426693011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 t="e">
        <f t="shared" ca="1" si="150"/>
        <v>#N/A</v>
      </c>
      <c r="AG333" s="306">
        <f t="shared" ca="1" si="172"/>
        <v>7.1057702629489494</v>
      </c>
      <c r="AH333" s="304">
        <f t="shared" ca="1" si="173"/>
        <v>-0.45141274115713592</v>
      </c>
    </row>
    <row r="334" spans="1:34" x14ac:dyDescent="0.2">
      <c r="A334" s="347">
        <f t="shared" ca="1" si="151"/>
        <v>0.1</v>
      </c>
      <c r="B334" s="304">
        <f t="shared" ca="1" si="152"/>
        <v>25.700000000000081</v>
      </c>
      <c r="D334" s="306">
        <f t="shared" ca="1" si="153"/>
        <v>-0.29541623043698512</v>
      </c>
      <c r="E334" s="307">
        <f t="shared" ca="1" si="154"/>
        <v>-9.4353528870126144</v>
      </c>
      <c r="F334" s="304">
        <f t="shared" ca="1" si="155"/>
        <v>9.4399764221984626</v>
      </c>
      <c r="G334" s="306">
        <f t="shared" ca="1" si="156"/>
        <v>16.315272353454006</v>
      </c>
      <c r="H334" s="307">
        <f t="shared" ca="1" si="157"/>
        <v>-21.672042180664178</v>
      </c>
      <c r="I334" s="304">
        <f t="shared" ca="1" si="158"/>
        <v>27.126841398287933</v>
      </c>
      <c r="J334" s="306">
        <f t="shared" ca="1" si="159"/>
        <v>563.14069609717296</v>
      </c>
      <c r="K334" s="307">
        <f t="shared" ca="1" si="160"/>
        <v>2947.5216851179648</v>
      </c>
      <c r="L334" s="304">
        <f t="shared" ca="1" si="145"/>
        <v>3000.8351383975523</v>
      </c>
      <c r="M334" s="306">
        <f t="shared" ca="1" si="161"/>
        <v>-0.92548916176824203</v>
      </c>
      <c r="N334" s="304">
        <f t="shared" ca="1" si="162"/>
        <v>-53.026622954420574</v>
      </c>
      <c r="P334" s="310">
        <f t="shared" ca="1" si="163"/>
        <v>23</v>
      </c>
      <c r="Q334" s="304">
        <f t="shared" ca="1" si="164"/>
        <v>0</v>
      </c>
      <c r="R334" s="306">
        <f t="shared" ca="1" si="165"/>
        <v>0</v>
      </c>
      <c r="S334" s="307">
        <f t="shared" ca="1" si="166"/>
        <v>1.7842999999999964</v>
      </c>
      <c r="T334" s="304">
        <f t="shared" ca="1" si="146"/>
        <v>17.503982999999966</v>
      </c>
      <c r="U334" s="311">
        <f t="shared" ca="1" si="147"/>
        <v>0</v>
      </c>
      <c r="V334" s="306">
        <f t="shared" ca="1" si="148"/>
        <v>0.91030683933410173</v>
      </c>
      <c r="W334" s="304">
        <f t="shared" ca="1" si="149"/>
        <v>0.89919376579087174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 t="e">
        <f t="shared" ca="1" si="150"/>
        <v>#N/A</v>
      </c>
      <c r="AG334" s="306">
        <f t="shared" ca="1" si="172"/>
        <v>7.2261695354623248</v>
      </c>
      <c r="AH334" s="304">
        <f t="shared" ca="1" si="173"/>
        <v>-0.47710712473760175</v>
      </c>
    </row>
    <row r="335" spans="1:34" x14ac:dyDescent="0.2">
      <c r="A335" s="347">
        <f t="shared" ca="1" si="151"/>
        <v>0.1</v>
      </c>
      <c r="B335" s="304">
        <f t="shared" ca="1" si="152"/>
        <v>25.800000000000082</v>
      </c>
      <c r="D335" s="306">
        <f t="shared" ca="1" si="153"/>
        <v>-0.30309621390204577</v>
      </c>
      <c r="E335" s="307">
        <f t="shared" ca="1" si="154"/>
        <v>-9.4073886435861969</v>
      </c>
      <c r="F335" s="304">
        <f t="shared" ca="1" si="155"/>
        <v>9.4122700984595795</v>
      </c>
      <c r="G335" s="306">
        <f t="shared" ca="1" si="156"/>
        <v>16.2849627320638</v>
      </c>
      <c r="H335" s="307">
        <f t="shared" ca="1" si="157"/>
        <v>-22.612781045022796</v>
      </c>
      <c r="I335" s="304">
        <f t="shared" ca="1" si="158"/>
        <v>27.866429225411157</v>
      </c>
      <c r="J335" s="306">
        <f t="shared" ca="1" si="159"/>
        <v>564.77070785144883</v>
      </c>
      <c r="K335" s="307">
        <f t="shared" ca="1" si="160"/>
        <v>2945.3074439566803</v>
      </c>
      <c r="L335" s="304">
        <f t="shared" ca="1" si="145"/>
        <v>2998.9668040633028</v>
      </c>
      <c r="M335" s="306">
        <f t="shared" ca="1" si="161"/>
        <v>-0.94666376293670729</v>
      </c>
      <c r="N335" s="304">
        <f t="shared" ca="1" si="162"/>
        <v>-54.239838234246413</v>
      </c>
      <c r="P335" s="310">
        <f t="shared" ca="1" si="163"/>
        <v>23</v>
      </c>
      <c r="Q335" s="304">
        <f t="shared" ca="1" si="164"/>
        <v>0</v>
      </c>
      <c r="R335" s="306">
        <f t="shared" ca="1" si="165"/>
        <v>0</v>
      </c>
      <c r="S335" s="307">
        <f t="shared" ca="1" si="166"/>
        <v>1.7842999999999964</v>
      </c>
      <c r="T335" s="304">
        <f t="shared" ca="1" si="146"/>
        <v>17.503982999999966</v>
      </c>
      <c r="U335" s="311">
        <f t="shared" ca="1" si="147"/>
        <v>0</v>
      </c>
      <c r="V335" s="306">
        <f t="shared" ca="1" si="148"/>
        <v>0.91051289821159442</v>
      </c>
      <c r="W335" s="304">
        <f t="shared" ca="1" si="149"/>
        <v>0.94910830126419665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 t="e">
        <f t="shared" ca="1" si="150"/>
        <v>#N/A</v>
      </c>
      <c r="AG335" s="306">
        <f t="shared" ca="1" si="172"/>
        <v>7.3334091239661943</v>
      </c>
      <c r="AH335" s="304">
        <f t="shared" ca="1" si="173"/>
        <v>-0.50394763537010234</v>
      </c>
    </row>
    <row r="336" spans="1:34" x14ac:dyDescent="0.2">
      <c r="A336" s="347">
        <f t="shared" ca="1" si="151"/>
        <v>0.1</v>
      </c>
      <c r="B336" s="304">
        <f t="shared" ca="1" si="152"/>
        <v>25.900000000000084</v>
      </c>
      <c r="D336" s="306">
        <f t="shared" ca="1" si="153"/>
        <v>-0.31085176900970196</v>
      </c>
      <c r="E336" s="307">
        <f t="shared" ca="1" si="154"/>
        <v>-9.3783611251848669</v>
      </c>
      <c r="F336" s="304">
        <f t="shared" ca="1" si="155"/>
        <v>9.3835114012119814</v>
      </c>
      <c r="G336" s="306">
        <f t="shared" ca="1" si="156"/>
        <v>16.253877555162831</v>
      </c>
      <c r="H336" s="307">
        <f t="shared" ca="1" si="157"/>
        <v>-23.550617157541282</v>
      </c>
      <c r="I336" s="304">
        <f t="shared" ca="1" si="158"/>
        <v>28.615032833797411</v>
      </c>
      <c r="J336" s="306">
        <f t="shared" ca="1" si="159"/>
        <v>566.39764986581019</v>
      </c>
      <c r="K336" s="307">
        <f t="shared" ca="1" si="160"/>
        <v>2942.9992740465523</v>
      </c>
      <c r="L336" s="304">
        <f t="shared" ca="1" si="145"/>
        <v>2997.0070111382865</v>
      </c>
      <c r="M336" s="306">
        <f t="shared" ca="1" si="161"/>
        <v>-0.96669968174074827</v>
      </c>
      <c r="N336" s="304">
        <f t="shared" ca="1" si="162"/>
        <v>-55.387811820384769</v>
      </c>
      <c r="P336" s="310">
        <f t="shared" ca="1" si="163"/>
        <v>23</v>
      </c>
      <c r="Q336" s="304">
        <f t="shared" ca="1" si="164"/>
        <v>0</v>
      </c>
      <c r="R336" s="306">
        <f t="shared" ca="1" si="165"/>
        <v>0</v>
      </c>
      <c r="S336" s="307">
        <f t="shared" ca="1" si="166"/>
        <v>1.7842999999999964</v>
      </c>
      <c r="T336" s="304">
        <f t="shared" ca="1" si="146"/>
        <v>17.503982999999966</v>
      </c>
      <c r="U336" s="311">
        <f t="shared" ca="1" si="147"/>
        <v>0</v>
      </c>
      <c r="V336" s="306">
        <f t="shared" ca="1" si="148"/>
        <v>0.91072774050642535</v>
      </c>
      <c r="W336" s="304">
        <f t="shared" ca="1" si="149"/>
        <v>1.0010230722185631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 t="e">
        <f t="shared" ca="1" si="150"/>
        <v>#N/A</v>
      </c>
      <c r="AG336" s="306">
        <f t="shared" ca="1" si="172"/>
        <v>7.4286021914379532</v>
      </c>
      <c r="AH336" s="304">
        <f t="shared" ca="1" si="173"/>
        <v>-0.53192193087720596</v>
      </c>
    </row>
    <row r="337" spans="1:34" x14ac:dyDescent="0.2">
      <c r="A337" s="347">
        <f t="shared" ca="1" si="151"/>
        <v>0.1</v>
      </c>
      <c r="B337" s="304">
        <f t="shared" ca="1" si="152"/>
        <v>26.000000000000085</v>
      </c>
      <c r="D337" s="306">
        <f t="shared" ca="1" si="153"/>
        <v>-0.31866836139692134</v>
      </c>
      <c r="E337" s="307">
        <f t="shared" ca="1" si="154"/>
        <v>-9.3482740792767895</v>
      </c>
      <c r="F337" s="304">
        <f t="shared" ca="1" si="155"/>
        <v>9.3537039607758441</v>
      </c>
      <c r="G337" s="306">
        <f t="shared" ca="1" si="156"/>
        <v>16.222010719023139</v>
      </c>
      <c r="H337" s="307">
        <f t="shared" ca="1" si="157"/>
        <v>-24.48544456546896</v>
      </c>
      <c r="I337" s="304">
        <f t="shared" ca="1" si="158"/>
        <v>29.371595587178355</v>
      </c>
      <c r="J337" s="306">
        <f t="shared" ca="1" si="159"/>
        <v>568.02144427951953</v>
      </c>
      <c r="K337" s="307">
        <f t="shared" ca="1" si="160"/>
        <v>2940.5974709604016</v>
      </c>
      <c r="L337" s="304">
        <f t="shared" ca="1" si="145"/>
        <v>2994.9560676878218</v>
      </c>
      <c r="M337" s="306">
        <f t="shared" ca="1" si="161"/>
        <v>-0.98567243060736454</v>
      </c>
      <c r="N337" s="304">
        <f t="shared" ca="1" si="162"/>
        <v>-56.474870256203495</v>
      </c>
      <c r="P337" s="310">
        <f t="shared" ca="1" si="163"/>
        <v>23</v>
      </c>
      <c r="Q337" s="304">
        <f t="shared" ca="1" si="164"/>
        <v>0</v>
      </c>
      <c r="R337" s="306">
        <f t="shared" ca="1" si="165"/>
        <v>0</v>
      </c>
      <c r="S337" s="307">
        <f t="shared" ca="1" si="166"/>
        <v>1.7842999999999964</v>
      </c>
      <c r="T337" s="304">
        <f t="shared" ca="1" si="146"/>
        <v>17.503982999999966</v>
      </c>
      <c r="U337" s="311">
        <f t="shared" ca="1" si="147"/>
        <v>0</v>
      </c>
      <c r="V337" s="306">
        <f t="shared" ca="1" si="148"/>
        <v>0.91095134398862854</v>
      </c>
      <c r="W337" s="304">
        <f t="shared" ca="1" si="149"/>
        <v>1.0549145579952346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>
        <f t="shared" ca="1" si="170"/>
        <v>26.000000000000085</v>
      </c>
      <c r="AD337" s="323">
        <f t="shared" ca="1" si="171"/>
        <v>568.02144427951953</v>
      </c>
      <c r="AE337" s="324" t="e">
        <f t="shared" ca="1" si="150"/>
        <v>#N/A</v>
      </c>
      <c r="AG337" s="306">
        <f t="shared" ca="1" si="172"/>
        <v>7.5127653582159235</v>
      </c>
      <c r="AH337" s="304">
        <f t="shared" ca="1" si="173"/>
        <v>-0.56101724610130865</v>
      </c>
    </row>
    <row r="338" spans="1:34" x14ac:dyDescent="0.2">
      <c r="A338" s="347">
        <f t="shared" ca="1" si="151"/>
        <v>0.1</v>
      </c>
      <c r="B338" s="304">
        <f t="shared" ca="1" si="152"/>
        <v>26.100000000000087</v>
      </c>
      <c r="D338" s="306">
        <f t="shared" ca="1" si="153"/>
        <v>-0.32653260603285378</v>
      </c>
      <c r="E338" s="307">
        <f t="shared" ca="1" si="154"/>
        <v>-9.3171328602649943</v>
      </c>
      <c r="F338" s="304">
        <f t="shared" ca="1" si="155"/>
        <v>9.3228530117465844</v>
      </c>
      <c r="G338" s="306">
        <f t="shared" ca="1" si="156"/>
        <v>16.189357458419853</v>
      </c>
      <c r="H338" s="307">
        <f t="shared" ca="1" si="157"/>
        <v>-25.41715785149546</v>
      </c>
      <c r="I338" s="304">
        <f t="shared" ca="1" si="158"/>
        <v>30.135149048317842</v>
      </c>
      <c r="J338" s="306">
        <f t="shared" ca="1" si="159"/>
        <v>569.64201268839167</v>
      </c>
      <c r="K338" s="307">
        <f t="shared" ca="1" si="160"/>
        <v>2938.1023408395531</v>
      </c>
      <c r="L338" s="304">
        <f t="shared" ca="1" si="145"/>
        <v>2992.8142922451007</v>
      </c>
      <c r="M338" s="306">
        <f t="shared" ca="1" si="161"/>
        <v>-1.0036527005866362</v>
      </c>
      <c r="N338" s="304">
        <f t="shared" ca="1" si="162"/>
        <v>-57.505063840521537</v>
      </c>
      <c r="P338" s="310">
        <f t="shared" ca="1" si="163"/>
        <v>23</v>
      </c>
      <c r="Q338" s="304">
        <f t="shared" ca="1" si="164"/>
        <v>0</v>
      </c>
      <c r="R338" s="306">
        <f t="shared" ca="1" si="165"/>
        <v>0</v>
      </c>
      <c r="S338" s="307">
        <f t="shared" ca="1" si="166"/>
        <v>1.7842999999999964</v>
      </c>
      <c r="T338" s="304">
        <f t="shared" ca="1" si="146"/>
        <v>17.503982999999966</v>
      </c>
      <c r="U338" s="311">
        <f t="shared" ca="1" si="147"/>
        <v>0</v>
      </c>
      <c r="V338" s="306">
        <f t="shared" ca="1" si="148"/>
        <v>0.91118368563816277</v>
      </c>
      <c r="W338" s="304">
        <f t="shared" ca="1" si="149"/>
        <v>1.1107585068923493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 t="e">
        <f t="shared" ca="1" si="150"/>
        <v>#N/A</v>
      </c>
      <c r="AG338" s="306">
        <f t="shared" ca="1" si="172"/>
        <v>7.5868239456908428</v>
      </c>
      <c r="AH338" s="304">
        <f t="shared" ca="1" si="173"/>
        <v>-0.59122039903336698</v>
      </c>
    </row>
    <row r="339" spans="1:34" x14ac:dyDescent="0.2">
      <c r="A339" s="347">
        <f t="shared" ca="1" si="151"/>
        <v>0.1</v>
      </c>
      <c r="B339" s="304">
        <f t="shared" ca="1" si="152"/>
        <v>26.200000000000088</v>
      </c>
      <c r="D339" s="306">
        <f t="shared" ca="1" si="153"/>
        <v>-0.33443216554775079</v>
      </c>
      <c r="E339" s="307">
        <f t="shared" ca="1" si="154"/>
        <v>-9.2849442549417702</v>
      </c>
      <c r="F339" s="304">
        <f t="shared" ca="1" si="155"/>
        <v>9.2909652184651499</v>
      </c>
      <c r="G339" s="306">
        <f t="shared" ca="1" si="156"/>
        <v>16.155914241865077</v>
      </c>
      <c r="H339" s="307">
        <f t="shared" ca="1" si="157"/>
        <v>-26.345652276989636</v>
      </c>
      <c r="I339" s="304">
        <f t="shared" ca="1" si="158"/>
        <v>30.904804786481794</v>
      </c>
      <c r="J339" s="306">
        <f t="shared" ca="1" si="159"/>
        <v>571.25927627340593</v>
      </c>
      <c r="K339" s="307">
        <f t="shared" ca="1" si="160"/>
        <v>2935.5142003331289</v>
      </c>
      <c r="L339" s="304">
        <f t="shared" ca="1" si="145"/>
        <v>2990.5820137702067</v>
      </c>
      <c r="M339" s="306">
        <f t="shared" ca="1" si="161"/>
        <v>-1.0207064674842525</v>
      </c>
      <c r="N339" s="304">
        <f t="shared" ca="1" si="162"/>
        <v>-58.482172708554863</v>
      </c>
      <c r="P339" s="310">
        <f t="shared" ca="1" si="163"/>
        <v>23</v>
      </c>
      <c r="Q339" s="304">
        <f t="shared" ca="1" si="164"/>
        <v>0</v>
      </c>
      <c r="R339" s="306">
        <f t="shared" ca="1" si="165"/>
        <v>0</v>
      </c>
      <c r="S339" s="307">
        <f t="shared" ca="1" si="166"/>
        <v>1.7842999999999964</v>
      </c>
      <c r="T339" s="304">
        <f t="shared" ca="1" si="146"/>
        <v>17.503982999999966</v>
      </c>
      <c r="U339" s="311">
        <f t="shared" ca="1" si="147"/>
        <v>0</v>
      </c>
      <c r="V339" s="306">
        <f t="shared" ca="1" si="148"/>
        <v>0.91142474164753184</v>
      </c>
      <c r="W339" s="304">
        <f t="shared" ca="1" si="149"/>
        <v>1.1685299505224733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 t="e">
        <f t="shared" ca="1" si="150"/>
        <v>#N/A</v>
      </c>
      <c r="AG339" s="306">
        <f t="shared" ca="1" si="172"/>
        <v>7.6516180997424375</v>
      </c>
      <c r="AH339" s="304">
        <f t="shared" ca="1" si="173"/>
        <v>-0.62251779795569773</v>
      </c>
    </row>
    <row r="340" spans="1:34" x14ac:dyDescent="0.2">
      <c r="A340" s="347">
        <f t="shared" ca="1" si="151"/>
        <v>0.1</v>
      </c>
      <c r="B340" s="304">
        <f t="shared" ca="1" si="152"/>
        <v>26.30000000000009</v>
      </c>
      <c r="D340" s="306">
        <f t="shared" ca="1" si="153"/>
        <v>-0.34235565610022034</v>
      </c>
      <c r="E340" s="307">
        <f t="shared" ca="1" si="154"/>
        <v>-9.251716331515027</v>
      </c>
      <c r="F340" s="304">
        <f t="shared" ca="1" si="155"/>
        <v>9.2580485240727537</v>
      </c>
      <c r="G340" s="306">
        <f t="shared" ca="1" si="156"/>
        <v>16.121678676255055</v>
      </c>
      <c r="H340" s="307">
        <f t="shared" ca="1" si="157"/>
        <v>-27.270823910141139</v>
      </c>
      <c r="I340" s="304">
        <f t="shared" ca="1" si="158"/>
        <v>31.679746843659316</v>
      </c>
      <c r="J340" s="306">
        <f t="shared" ca="1" si="159"/>
        <v>572.8731559193119</v>
      </c>
      <c r="K340" s="307">
        <f t="shared" ca="1" si="160"/>
        <v>2932.8333765237721</v>
      </c>
      <c r="L340" s="304">
        <f t="shared" ca="1" si="145"/>
        <v>2988.2595715942721</v>
      </c>
      <c r="M340" s="306">
        <f t="shared" ca="1" si="161"/>
        <v>-1.0368951613016999</v>
      </c>
      <c r="N340" s="304">
        <f t="shared" ca="1" si="162"/>
        <v>-59.40971654012413</v>
      </c>
      <c r="P340" s="310">
        <f t="shared" ca="1" si="163"/>
        <v>23</v>
      </c>
      <c r="Q340" s="304">
        <f t="shared" ca="1" si="164"/>
        <v>0</v>
      </c>
      <c r="R340" s="306">
        <f t="shared" ca="1" si="165"/>
        <v>0</v>
      </c>
      <c r="S340" s="307">
        <f t="shared" ca="1" si="166"/>
        <v>1.7842999999999964</v>
      </c>
      <c r="T340" s="304">
        <f t="shared" ca="1" si="146"/>
        <v>17.503982999999966</v>
      </c>
      <c r="U340" s="311">
        <f t="shared" ca="1" si="147"/>
        <v>0</v>
      </c>
      <c r="V340" s="306">
        <f t="shared" ca="1" si="148"/>
        <v>0.91167448742557289</v>
      </c>
      <c r="W340" s="304">
        <f t="shared" ca="1" si="149"/>
        <v>1.228203219609733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 t="e">
        <f t="shared" ca="1" si="150"/>
        <v>#N/A</v>
      </c>
      <c r="AG340" s="306">
        <f t="shared" ca="1" si="172"/>
        <v>7.7079093189893104</v>
      </c>
      <c r="AH340" s="304">
        <f t="shared" ca="1" si="173"/>
        <v>-0.65489544948858136</v>
      </c>
    </row>
    <row r="341" spans="1:34" x14ac:dyDescent="0.2">
      <c r="A341" s="347">
        <f t="shared" ca="1" si="151"/>
        <v>0.1</v>
      </c>
      <c r="B341" s="304">
        <f t="shared" ca="1" si="152"/>
        <v>26.400000000000091</v>
      </c>
      <c r="D341" s="306">
        <f t="shared" ca="1" si="153"/>
        <v>-0.35029256099289457</v>
      </c>
      <c r="E341" s="307">
        <f t="shared" ca="1" si="154"/>
        <v>-9.217458308796374</v>
      </c>
      <c r="F341" s="304">
        <f t="shared" ca="1" si="155"/>
        <v>9.2241120197386088</v>
      </c>
      <c r="G341" s="306">
        <f t="shared" ca="1" si="156"/>
        <v>16.086649420155766</v>
      </c>
      <c r="H341" s="307">
        <f t="shared" ca="1" si="157"/>
        <v>-28.192569741020776</v>
      </c>
      <c r="I341" s="304">
        <f t="shared" ca="1" si="158"/>
        <v>32.459224854720702</v>
      </c>
      <c r="J341" s="306">
        <f t="shared" ca="1" si="159"/>
        <v>574.48357232413241</v>
      </c>
      <c r="K341" s="307">
        <f t="shared" ca="1" si="160"/>
        <v>2930.060206841214</v>
      </c>
      <c r="L341" s="304">
        <f t="shared" ca="1" si="145"/>
        <v>2985.8473153503137</v>
      </c>
      <c r="M341" s="306">
        <f t="shared" ca="1" si="161"/>
        <v>-1.0522758770079002</v>
      </c>
      <c r="N341" s="304">
        <f t="shared" ca="1" si="162"/>
        <v>-60.290966635979977</v>
      </c>
      <c r="P341" s="310">
        <f t="shared" ca="1" si="163"/>
        <v>23</v>
      </c>
      <c r="Q341" s="304">
        <f t="shared" ca="1" si="164"/>
        <v>0</v>
      </c>
      <c r="R341" s="306">
        <f t="shared" ca="1" si="165"/>
        <v>0</v>
      </c>
      <c r="S341" s="307">
        <f t="shared" ca="1" si="166"/>
        <v>1.7842999999999964</v>
      </c>
      <c r="T341" s="304">
        <f t="shared" ca="1" si="146"/>
        <v>17.503982999999966</v>
      </c>
      <c r="U341" s="311">
        <f t="shared" ca="1" si="147"/>
        <v>0</v>
      </c>
      <c r="V341" s="306">
        <f t="shared" ca="1" si="148"/>
        <v>0.91193289760228302</v>
      </c>
      <c r="W341" s="304">
        <f t="shared" ca="1" si="149"/>
        <v>1.2897519610737018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 t="e">
        <f t="shared" ca="1" si="150"/>
        <v>#N/A</v>
      </c>
      <c r="AG341" s="306">
        <f t="shared" ca="1" si="172"/>
        <v>7.756387055107548</v>
      </c>
      <c r="AH341" s="304">
        <f t="shared" ca="1" si="173"/>
        <v>-0.68833896744366718</v>
      </c>
    </row>
    <row r="342" spans="1:34" x14ac:dyDescent="0.2">
      <c r="A342" s="347">
        <f t="shared" ca="1" si="151"/>
        <v>0.1</v>
      </c>
      <c r="B342" s="304">
        <f t="shared" ca="1" si="152"/>
        <v>26.500000000000092</v>
      </c>
      <c r="D342" s="306">
        <f t="shared" ca="1" si="153"/>
        <v>-0.35823315193768046</v>
      </c>
      <c r="E342" s="307">
        <f t="shared" ca="1" si="154"/>
        <v>-9.1821804425665832</v>
      </c>
      <c r="F342" s="304">
        <f t="shared" ca="1" si="155"/>
        <v>9.1891658310751723</v>
      </c>
      <c r="G342" s="306">
        <f t="shared" ca="1" si="156"/>
        <v>16.050826104961999</v>
      </c>
      <c r="H342" s="307">
        <f t="shared" ca="1" si="157"/>
        <v>-29.110787785277434</v>
      </c>
      <c r="I342" s="304">
        <f t="shared" ca="1" si="158"/>
        <v>33.242547798434273</v>
      </c>
      <c r="J342" s="306">
        <f t="shared" ca="1" si="159"/>
        <v>576.09044610038825</v>
      </c>
      <c r="K342" s="307">
        <f t="shared" ca="1" si="160"/>
        <v>2927.1950389648991</v>
      </c>
      <c r="L342" s="304">
        <f t="shared" ca="1" si="145"/>
        <v>2983.3456048920752</v>
      </c>
      <c r="M342" s="306">
        <f t="shared" ca="1" si="161"/>
        <v>-1.0669016100420312</v>
      </c>
      <c r="N342" s="304">
        <f t="shared" ca="1" si="162"/>
        <v>-61.128959411120761</v>
      </c>
      <c r="P342" s="310">
        <f t="shared" ca="1" si="163"/>
        <v>23</v>
      </c>
      <c r="Q342" s="304">
        <f t="shared" ca="1" si="164"/>
        <v>0</v>
      </c>
      <c r="R342" s="306">
        <f t="shared" ca="1" si="165"/>
        <v>0</v>
      </c>
      <c r="S342" s="307">
        <f t="shared" ca="1" si="166"/>
        <v>1.7842999999999964</v>
      </c>
      <c r="T342" s="304">
        <f t="shared" ca="1" si="146"/>
        <v>17.503982999999966</v>
      </c>
      <c r="U342" s="311">
        <f t="shared" ca="1" si="147"/>
        <v>0</v>
      </c>
      <c r="V342" s="306">
        <f t="shared" ca="1" si="148"/>
        <v>0.91219994603457699</v>
      </c>
      <c r="W342" s="304">
        <f t="shared" ca="1" si="149"/>
        <v>1.3531491562645153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 t="e">
        <f t="shared" ca="1" si="150"/>
        <v>#N/A</v>
      </c>
      <c r="AG342" s="306">
        <f t="shared" ca="1" si="172"/>
        <v>7.7976751604093231</v>
      </c>
      <c r="AH342" s="304">
        <f t="shared" ca="1" si="173"/>
        <v>-0.72283358239853412</v>
      </c>
    </row>
    <row r="343" spans="1:34" x14ac:dyDescent="0.2">
      <c r="A343" s="347">
        <f t="shared" ca="1" si="151"/>
        <v>0.1</v>
      </c>
      <c r="B343" s="304">
        <f t="shared" ca="1" si="152"/>
        <v>26.600000000000094</v>
      </c>
      <c r="D343" s="306">
        <f t="shared" ca="1" si="153"/>
        <v>-0.36616841766927416</v>
      </c>
      <c r="E343" s="307">
        <f t="shared" ca="1" si="154"/>
        <v>-9.1458939265346739</v>
      </c>
      <c r="F343" s="304">
        <f t="shared" ca="1" si="155"/>
        <v>9.1532210191561667</v>
      </c>
      <c r="G343" s="306">
        <f t="shared" ca="1" si="156"/>
        <v>16.01420926319507</v>
      </c>
      <c r="H343" s="307">
        <f t="shared" ca="1" si="157"/>
        <v>-30.025377177930903</v>
      </c>
      <c r="I343" s="304">
        <f t="shared" ca="1" si="158"/>
        <v>34.0290783448864</v>
      </c>
      <c r="J343" s="306">
        <f t="shared" ca="1" si="159"/>
        <v>577.69369786879611</v>
      </c>
      <c r="K343" s="307">
        <f t="shared" ca="1" si="160"/>
        <v>2924.2382307167386</v>
      </c>
      <c r="L343" s="304">
        <f t="shared" ca="1" si="145"/>
        <v>2980.7548102020546</v>
      </c>
      <c r="M343" s="306">
        <f t="shared" ca="1" si="161"/>
        <v>-1.0808215042167935</v>
      </c>
      <c r="N343" s="304">
        <f t="shared" ca="1" si="162"/>
        <v>-61.926510598603372</v>
      </c>
      <c r="P343" s="310">
        <f t="shared" ca="1" si="163"/>
        <v>23</v>
      </c>
      <c r="Q343" s="304">
        <f t="shared" ca="1" si="164"/>
        <v>0</v>
      </c>
      <c r="R343" s="306">
        <f t="shared" ca="1" si="165"/>
        <v>0</v>
      </c>
      <c r="S343" s="307">
        <f t="shared" ca="1" si="166"/>
        <v>1.7842999999999964</v>
      </c>
      <c r="T343" s="304">
        <f t="shared" ca="1" si="146"/>
        <v>17.503982999999966</v>
      </c>
      <c r="U343" s="311">
        <f t="shared" ca="1" si="147"/>
        <v>0</v>
      </c>
      <c r="V343" s="306">
        <f t="shared" ca="1" si="148"/>
        <v>0.91247560581287812</v>
      </c>
      <c r="W343" s="304">
        <f t="shared" ca="1" si="149"/>
        <v>1.4183671402284044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 t="e">
        <f t="shared" ca="1" si="150"/>
        <v>#N/A</v>
      </c>
      <c r="AG343" s="306">
        <f t="shared" ca="1" si="172"/>
        <v>7.8323380380950631</v>
      </c>
      <c r="AH343" s="304">
        <f t="shared" ca="1" si="173"/>
        <v>-0.7583641519164479</v>
      </c>
    </row>
    <row r="344" spans="1:34" x14ac:dyDescent="0.2">
      <c r="A344" s="347">
        <f t="shared" ca="1" si="151"/>
        <v>0.1</v>
      </c>
      <c r="B344" s="304">
        <f t="shared" ca="1" si="152"/>
        <v>26.700000000000095</v>
      </c>
      <c r="D344" s="306">
        <f t="shared" ca="1" si="153"/>
        <v>-0.37408999948122645</v>
      </c>
      <c r="E344" s="307">
        <f t="shared" ca="1" si="154"/>
        <v>-9.1086108056717876</v>
      </c>
      <c r="F344" s="304">
        <f t="shared" ca="1" si="155"/>
        <v>9.1162894939176162</v>
      </c>
      <c r="G344" s="306">
        <f t="shared" ca="1" si="156"/>
        <v>15.976800263246947</v>
      </c>
      <c r="H344" s="307">
        <f t="shared" ca="1" si="157"/>
        <v>-30.936238258498083</v>
      </c>
      <c r="I344" s="304">
        <f t="shared" ca="1" si="158"/>
        <v>34.818227758434922</v>
      </c>
      <c r="J344" s="306">
        <f t="shared" ca="1" si="159"/>
        <v>579.29324834511817</v>
      </c>
      <c r="K344" s="307">
        <f t="shared" ca="1" si="160"/>
        <v>2921.1901499449173</v>
      </c>
      <c r="L344" s="304">
        <f t="shared" ca="1" si="145"/>
        <v>2978.0753112897341</v>
      </c>
      <c r="M344" s="306">
        <f t="shared" ca="1" si="161"/>
        <v>-1.0940811030353645</v>
      </c>
      <c r="N344" s="304">
        <f t="shared" ca="1" si="162"/>
        <v>-62.686229648944149</v>
      </c>
      <c r="P344" s="310">
        <f t="shared" ca="1" si="163"/>
        <v>23</v>
      </c>
      <c r="Q344" s="304">
        <f t="shared" ca="1" si="164"/>
        <v>0</v>
      </c>
      <c r="R344" s="306">
        <f t="shared" ca="1" si="165"/>
        <v>0</v>
      </c>
      <c r="S344" s="307">
        <f t="shared" ca="1" si="166"/>
        <v>1.7842999999999964</v>
      </c>
      <c r="T344" s="304">
        <f t="shared" ca="1" si="146"/>
        <v>17.503982999999966</v>
      </c>
      <c r="U344" s="311">
        <f t="shared" ca="1" si="147"/>
        <v>0</v>
      </c>
      <c r="V344" s="306">
        <f t="shared" ca="1" si="148"/>
        <v>0.91275984926846221</v>
      </c>
      <c r="W344" s="304">
        <f t="shared" ca="1" si="149"/>
        <v>1.4853776218953345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 t="e">
        <f t="shared" ca="1" si="150"/>
        <v>#N/A</v>
      </c>
      <c r="AG344" s="306">
        <f t="shared" ca="1" si="172"/>
        <v>7.8608864090058148</v>
      </c>
      <c r="AH344" s="304">
        <f t="shared" ca="1" si="173"/>
        <v>-0.79491517134361223</v>
      </c>
    </row>
    <row r="345" spans="1:34" x14ac:dyDescent="0.2">
      <c r="A345" s="347">
        <f t="shared" ca="1" si="151"/>
        <v>0.1</v>
      </c>
      <c r="B345" s="304">
        <f t="shared" ca="1" si="152"/>
        <v>26.800000000000097</v>
      </c>
      <c r="D345" s="306">
        <f t="shared" ca="1" si="153"/>
        <v>-0.38199013319050346</v>
      </c>
      <c r="E345" s="307">
        <f t="shared" ca="1" si="154"/>
        <v>-9.0703439000259998</v>
      </c>
      <c r="F345" s="304">
        <f t="shared" ca="1" si="155"/>
        <v>9.0783839380472209</v>
      </c>
      <c r="G345" s="306">
        <f t="shared" ca="1" si="156"/>
        <v>15.938601249927897</v>
      </c>
      <c r="H345" s="307">
        <f t="shared" ca="1" si="157"/>
        <v>-31.843272648500683</v>
      </c>
      <c r="I345" s="304">
        <f t="shared" ca="1" si="158"/>
        <v>35.609451312410798</v>
      </c>
      <c r="J345" s="306">
        <f t="shared" ca="1" si="159"/>
        <v>580.88901842077689</v>
      </c>
      <c r="K345" s="307">
        <f t="shared" ca="1" si="160"/>
        <v>2918.0511743995671</v>
      </c>
      <c r="L345" s="304">
        <f t="shared" ca="1" si="145"/>
        <v>2975.3074980809206</v>
      </c>
      <c r="M345" s="306">
        <f t="shared" ca="1" si="161"/>
        <v>-1.1067225980219721</v>
      </c>
      <c r="N345" s="304">
        <f t="shared" ca="1" si="162"/>
        <v>-63.410533958412557</v>
      </c>
      <c r="P345" s="310">
        <f t="shared" ca="1" si="163"/>
        <v>23</v>
      </c>
      <c r="Q345" s="304">
        <f t="shared" ca="1" si="164"/>
        <v>0</v>
      </c>
      <c r="R345" s="306">
        <f t="shared" ca="1" si="165"/>
        <v>0</v>
      </c>
      <c r="S345" s="307">
        <f t="shared" ca="1" si="166"/>
        <v>1.7842999999999964</v>
      </c>
      <c r="T345" s="304">
        <f t="shared" ca="1" si="146"/>
        <v>17.503982999999966</v>
      </c>
      <c r="U345" s="311">
        <f t="shared" ca="1" si="147"/>
        <v>0</v>
      </c>
      <c r="V345" s="306">
        <f t="shared" ca="1" si="148"/>
        <v>0.91305264798147745</v>
      </c>
      <c r="W345" s="304">
        <f t="shared" ca="1" si="149"/>
        <v>1.5541517050910536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 t="e">
        <f t="shared" ca="1" si="150"/>
        <v>#N/A</v>
      </c>
      <c r="AG345" s="306">
        <f t="shared" ca="1" si="172"/>
        <v>7.8837826503304473</v>
      </c>
      <c r="AH345" s="304">
        <f t="shared" ca="1" si="173"/>
        <v>-0.8324707851232066</v>
      </c>
    </row>
    <row r="346" spans="1:34" x14ac:dyDescent="0.2">
      <c r="A346" s="347">
        <f t="shared" ca="1" si="151"/>
        <v>0.1</v>
      </c>
      <c r="B346" s="304">
        <f t="shared" ca="1" si="152"/>
        <v>26.900000000000098</v>
      </c>
      <c r="D346" s="306">
        <f t="shared" ca="1" si="153"/>
        <v>-0.38986159700748546</v>
      </c>
      <c r="E346" s="307">
        <f t="shared" ca="1" si="154"/>
        <v>-9.0311067374092566</v>
      </c>
      <c r="F346" s="304">
        <f t="shared" ca="1" si="155"/>
        <v>9.0395177397524975</v>
      </c>
      <c r="G346" s="306">
        <f t="shared" ca="1" si="156"/>
        <v>15.899615090227149</v>
      </c>
      <c r="H346" s="307">
        <f t="shared" ca="1" si="157"/>
        <v>-32.746383322241606</v>
      </c>
      <c r="I346" s="304">
        <f t="shared" ca="1" si="158"/>
        <v>36.40224417126727</v>
      </c>
      <c r="J346" s="306">
        <f t="shared" ca="1" si="159"/>
        <v>582.48092923778461</v>
      </c>
      <c r="K346" s="307">
        <f t="shared" ca="1" si="160"/>
        <v>2914.8216916010301</v>
      </c>
      <c r="L346" s="304">
        <f t="shared" ca="1" si="145"/>
        <v>2972.4517702989906</v>
      </c>
      <c r="M346" s="306">
        <f t="shared" ca="1" si="161"/>
        <v>-1.1187850696437145</v>
      </c>
      <c r="N346" s="304">
        <f t="shared" ca="1" si="162"/>
        <v>-64.101662672834721</v>
      </c>
      <c r="P346" s="310">
        <f t="shared" ca="1" si="163"/>
        <v>23</v>
      </c>
      <c r="Q346" s="304">
        <f t="shared" ca="1" si="164"/>
        <v>0</v>
      </c>
      <c r="R346" s="306">
        <f t="shared" ca="1" si="165"/>
        <v>0</v>
      </c>
      <c r="S346" s="307">
        <f t="shared" ca="1" si="166"/>
        <v>1.7842999999999964</v>
      </c>
      <c r="T346" s="304">
        <f t="shared" ca="1" si="146"/>
        <v>17.503982999999966</v>
      </c>
      <c r="U346" s="311">
        <f t="shared" ca="1" si="147"/>
        <v>0</v>
      </c>
      <c r="V346" s="306">
        <f t="shared" ca="1" si="148"/>
        <v>0.91335397278958408</v>
      </c>
      <c r="W346" s="304">
        <f t="shared" ca="1" si="149"/>
        <v>1.6246599102848935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 t="e">
        <f t="shared" ca="1" si="150"/>
        <v>#N/A</v>
      </c>
      <c r="AG346" s="306">
        <f t="shared" ca="1" si="172"/>
        <v>7.9014456906728245</v>
      </c>
      <c r="AH346" s="304">
        <f t="shared" ca="1" si="173"/>
        <v>-0.87101479857146036</v>
      </c>
    </row>
    <row r="347" spans="1:34" x14ac:dyDescent="0.2">
      <c r="A347" s="347">
        <f t="shared" ca="1" si="151"/>
        <v>0.1</v>
      </c>
      <c r="B347" s="304">
        <f t="shared" ca="1" si="152"/>
        <v>27.000000000000099</v>
      </c>
      <c r="D347" s="306">
        <f t="shared" ca="1" si="153"/>
        <v>-0.39769766478618473</v>
      </c>
      <c r="E347" s="307">
        <f t="shared" ca="1" si="154"/>
        <v>-8.9909134935943484</v>
      </c>
      <c r="F347" s="304">
        <f t="shared" ca="1" si="155"/>
        <v>8.9997049330449332</v>
      </c>
      <c r="G347" s="306">
        <f t="shared" ca="1" si="156"/>
        <v>15.85984532374853</v>
      </c>
      <c r="H347" s="307">
        <f t="shared" ca="1" si="157"/>
        <v>-33.645474671601043</v>
      </c>
      <c r="I347" s="304">
        <f t="shared" ca="1" si="158"/>
        <v>37.196137696951482</v>
      </c>
      <c r="J347" s="306">
        <f t="shared" ca="1" si="159"/>
        <v>584.06890225848338</v>
      </c>
      <c r="K347" s="307">
        <f t="shared" ca="1" si="160"/>
        <v>2911.5020987013381</v>
      </c>
      <c r="L347" s="304">
        <f t="shared" ca="1" si="145"/>
        <v>2969.5085373387506</v>
      </c>
      <c r="M347" s="306">
        <f t="shared" ca="1" si="161"/>
        <v>-1.1303047178960106</v>
      </c>
      <c r="N347" s="304">
        <f t="shared" ca="1" si="162"/>
        <v>-64.761689899166541</v>
      </c>
      <c r="P347" s="310">
        <f t="shared" ca="1" si="163"/>
        <v>23</v>
      </c>
      <c r="Q347" s="304">
        <f t="shared" ca="1" si="164"/>
        <v>0</v>
      </c>
      <c r="R347" s="306">
        <f t="shared" ca="1" si="165"/>
        <v>0</v>
      </c>
      <c r="S347" s="307">
        <f t="shared" ca="1" si="166"/>
        <v>1.7842999999999964</v>
      </c>
      <c r="T347" s="304">
        <f t="shared" ca="1" si="146"/>
        <v>17.503982999999966</v>
      </c>
      <c r="U347" s="311">
        <f t="shared" ca="1" si="147"/>
        <v>0</v>
      </c>
      <c r="V347" s="306">
        <f t="shared" ca="1" si="148"/>
        <v>0.91366379379715157</v>
      </c>
      <c r="W347" s="304">
        <f t="shared" ca="1" si="149"/>
        <v>1.6968721969923326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>
        <f t="shared" ca="1" si="170"/>
        <v>27.000000000000099</v>
      </c>
      <c r="AD347" s="323">
        <f t="shared" ca="1" si="171"/>
        <v>584.06890225848338</v>
      </c>
      <c r="AE347" s="324" t="e">
        <f t="shared" ca="1" si="150"/>
        <v>#N/A</v>
      </c>
      <c r="AG347" s="306">
        <f t="shared" ca="1" si="172"/>
        <v>7.914255465419096</v>
      </c>
      <c r="AH347" s="304">
        <f t="shared" ca="1" si="173"/>
        <v>-0.91053069006607457</v>
      </c>
    </row>
    <row r="348" spans="1:34" x14ac:dyDescent="0.2">
      <c r="A348" s="347">
        <f t="shared" ca="1" si="151"/>
        <v>0.1</v>
      </c>
      <c r="B348" s="304">
        <f t="shared" ca="1" si="152"/>
        <v>27.100000000000101</v>
      </c>
      <c r="D348" s="306">
        <f t="shared" ca="1" si="153"/>
        <v>-0.40549206414490857</v>
      </c>
      <c r="E348" s="307">
        <f t="shared" ca="1" si="154"/>
        <v>-8.9497789388718854</v>
      </c>
      <c r="F348" s="304">
        <f t="shared" ca="1" si="155"/>
        <v>8.9589601443894846</v>
      </c>
      <c r="G348" s="306">
        <f t="shared" ca="1" si="156"/>
        <v>15.819296117334039</v>
      </c>
      <c r="H348" s="307">
        <f t="shared" ca="1" si="157"/>
        <v>-34.540452565488231</v>
      </c>
      <c r="I348" s="304">
        <f t="shared" ca="1" si="158"/>
        <v>37.990696138352639</v>
      </c>
      <c r="J348" s="306">
        <f t="shared" ca="1" si="159"/>
        <v>585.65285933053747</v>
      </c>
      <c r="K348" s="307">
        <f t="shared" ca="1" si="160"/>
        <v>2908.0928023394836</v>
      </c>
      <c r="L348" s="304">
        <f t="shared" ca="1" si="145"/>
        <v>2966.4782181335404</v>
      </c>
      <c r="M348" s="306">
        <f t="shared" ca="1" si="161"/>
        <v>-1.1413150807401726</v>
      </c>
      <c r="N348" s="304">
        <f t="shared" ca="1" si="162"/>
        <v>-65.392537221044677</v>
      </c>
      <c r="P348" s="310">
        <f t="shared" ca="1" si="163"/>
        <v>23</v>
      </c>
      <c r="Q348" s="304">
        <f t="shared" ca="1" si="164"/>
        <v>0</v>
      </c>
      <c r="R348" s="306">
        <f t="shared" ca="1" si="165"/>
        <v>0</v>
      </c>
      <c r="S348" s="307">
        <f t="shared" ca="1" si="166"/>
        <v>1.7842999999999964</v>
      </c>
      <c r="T348" s="304">
        <f t="shared" ca="1" si="146"/>
        <v>17.503982999999966</v>
      </c>
      <c r="U348" s="311">
        <f t="shared" ca="1" si="147"/>
        <v>0</v>
      </c>
      <c r="V348" s="306">
        <f t="shared" ca="1" si="148"/>
        <v>0.91398208038496709</v>
      </c>
      <c r="W348" s="304">
        <f t="shared" ca="1" si="149"/>
        <v>1.770757986757878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 t="e">
        <f t="shared" ca="1" si="150"/>
        <v>#N/A</v>
      </c>
      <c r="AG348" s="306">
        <f t="shared" ca="1" si="172"/>
        <v>7.9225569489987322</v>
      </c>
      <c r="AH348" s="304">
        <f t="shared" ca="1" si="173"/>
        <v>-0.95100162360160057</v>
      </c>
    </row>
    <row r="349" spans="1:34" x14ac:dyDescent="0.2">
      <c r="A349" s="347">
        <f t="shared" ca="1" si="151"/>
        <v>0.1</v>
      </c>
      <c r="B349" s="304">
        <f t="shared" ca="1" si="152"/>
        <v>27.200000000000102</v>
      </c>
      <c r="D349" s="306">
        <f t="shared" ca="1" si="153"/>
        <v>-0.41323893897406094</v>
      </c>
      <c r="E349" s="307">
        <f t="shared" ca="1" si="154"/>
        <v>-8.9077183899980206</v>
      </c>
      <c r="F349" s="304">
        <f t="shared" ca="1" si="155"/>
        <v>8.9172985447495989</v>
      </c>
      <c r="G349" s="306">
        <f t="shared" ca="1" si="156"/>
        <v>15.777972223436633</v>
      </c>
      <c r="H349" s="307">
        <f t="shared" ca="1" si="157"/>
        <v>-35.431224404488034</v>
      </c>
      <c r="I349" s="304">
        <f t="shared" ca="1" si="158"/>
        <v>38.785513665345803</v>
      </c>
      <c r="J349" s="306">
        <f t="shared" ca="1" si="159"/>
        <v>587.23272274757596</v>
      </c>
      <c r="K349" s="307">
        <f t="shared" ca="1" si="160"/>
        <v>2904.5942184909845</v>
      </c>
      <c r="L349" s="304">
        <f t="shared" ca="1" si="145"/>
        <v>2963.3612410161513</v>
      </c>
      <c r="M349" s="306">
        <f t="shared" ca="1" si="161"/>
        <v>-1.1518472394038917</v>
      </c>
      <c r="N349" s="304">
        <f t="shared" ca="1" si="162"/>
        <v>-65.995985461637929</v>
      </c>
      <c r="P349" s="310">
        <f t="shared" ca="1" si="163"/>
        <v>23</v>
      </c>
      <c r="Q349" s="304">
        <f t="shared" ca="1" si="164"/>
        <v>0</v>
      </c>
      <c r="R349" s="306">
        <f t="shared" ca="1" si="165"/>
        <v>0</v>
      </c>
      <c r="S349" s="307">
        <f t="shared" ca="1" si="166"/>
        <v>1.7842999999999964</v>
      </c>
      <c r="T349" s="304">
        <f t="shared" ca="1" si="146"/>
        <v>17.503982999999966</v>
      </c>
      <c r="U349" s="311">
        <f t="shared" ca="1" si="147"/>
        <v>0</v>
      </c>
      <c r="V349" s="306">
        <f t="shared" ca="1" si="148"/>
        <v>0.91430880122041525</v>
      </c>
      <c r="W349" s="304">
        <f t="shared" ca="1" si="149"/>
        <v>1.8462861866494553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 t="e">
        <f t="shared" ca="1" si="150"/>
        <v>#N/A</v>
      </c>
      <c r="AG349" s="306">
        <f t="shared" ca="1" si="172"/>
        <v>7.9266637883374216</v>
      </c>
      <c r="AH349" s="304">
        <f t="shared" ca="1" si="173"/>
        <v>-0.99241046167005631</v>
      </c>
    </row>
    <row r="350" spans="1:34" x14ac:dyDescent="0.2">
      <c r="A350" s="347">
        <f t="shared" ca="1" si="151"/>
        <v>0.1</v>
      </c>
      <c r="B350" s="304">
        <f t="shared" ca="1" si="152"/>
        <v>27.300000000000104</v>
      </c>
      <c r="D350" s="306">
        <f t="shared" ca="1" si="153"/>
        <v>-0.42093281588049181</v>
      </c>
      <c r="E350" s="307">
        <f t="shared" ca="1" si="154"/>
        <v>-8.8647476667171965</v>
      </c>
      <c r="F350" s="304">
        <f t="shared" ca="1" si="155"/>
        <v>8.8747358062115325</v>
      </c>
      <c r="G350" s="306">
        <f t="shared" ca="1" si="156"/>
        <v>15.735878941848584</v>
      </c>
      <c r="H350" s="307">
        <f t="shared" ca="1" si="157"/>
        <v>-36.317699171159752</v>
      </c>
      <c r="I350" s="304">
        <f t="shared" ca="1" si="158"/>
        <v>39.580211711906891</v>
      </c>
      <c r="J350" s="306">
        <f t="shared" ca="1" si="159"/>
        <v>588.80841530584019</v>
      </c>
      <c r="K350" s="307">
        <f t="shared" ca="1" si="160"/>
        <v>2901.006772312202</v>
      </c>
      <c r="L350" s="304">
        <f t="shared" ca="1" si="145"/>
        <v>2960.1580435740648</v>
      </c>
      <c r="M350" s="306">
        <f t="shared" ca="1" si="161"/>
        <v>-1.1619300101517243</v>
      </c>
      <c r="N350" s="304">
        <f t="shared" ca="1" si="162"/>
        <v>-66.573685671286697</v>
      </c>
      <c r="P350" s="310">
        <f t="shared" ca="1" si="163"/>
        <v>23</v>
      </c>
      <c r="Q350" s="304">
        <f t="shared" ca="1" si="164"/>
        <v>0</v>
      </c>
      <c r="R350" s="306">
        <f t="shared" ca="1" si="165"/>
        <v>0</v>
      </c>
      <c r="S350" s="307">
        <f t="shared" ca="1" si="166"/>
        <v>1.7842999999999964</v>
      </c>
      <c r="T350" s="304">
        <f t="shared" ca="1" si="146"/>
        <v>17.503982999999966</v>
      </c>
      <c r="U350" s="311">
        <f t="shared" ca="1" si="147"/>
        <v>0</v>
      </c>
      <c r="V350" s="306">
        <f t="shared" ca="1" si="148"/>
        <v>0.91464392426808205</v>
      </c>
      <c r="W350" s="304">
        <f t="shared" ca="1" si="149"/>
        <v>1.9234252132002887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 t="e">
        <f t="shared" ca="1" si="150"/>
        <v>#N/A</v>
      </c>
      <c r="AG350" s="306">
        <f t="shared" ca="1" si="172"/>
        <v>7.9268615660084016</v>
      </c>
      <c r="AH350" s="304">
        <f t="shared" ca="1" si="173"/>
        <v>-1.0347397784282122</v>
      </c>
    </row>
    <row r="351" spans="1:34" x14ac:dyDescent="0.2">
      <c r="A351" s="347">
        <f t="shared" ca="1" si="151"/>
        <v>0.1</v>
      </c>
      <c r="B351" s="304">
        <f t="shared" ca="1" si="152"/>
        <v>27.400000000000105</v>
      </c>
      <c r="D351" s="306">
        <f t="shared" ca="1" si="153"/>
        <v>-0.42856857415350924</v>
      </c>
      <c r="E351" s="307">
        <f t="shared" ca="1" si="154"/>
        <v>-8.8208830521740431</v>
      </c>
      <c r="F351" s="304">
        <f t="shared" ca="1" si="155"/>
        <v>8.8312880625015975</v>
      </c>
      <c r="G351" s="306">
        <f t="shared" ca="1" si="156"/>
        <v>15.693022084433233</v>
      </c>
      <c r="H351" s="307">
        <f t="shared" ca="1" si="157"/>
        <v>-37.199787476377153</v>
      </c>
      <c r="I351" s="304">
        <f t="shared" ca="1" si="158"/>
        <v>40.374436595823049</v>
      </c>
      <c r="J351" s="306">
        <f t="shared" ca="1" si="159"/>
        <v>590.37986035715426</v>
      </c>
      <c r="K351" s="307">
        <f t="shared" ca="1" si="160"/>
        <v>2897.3308979798253</v>
      </c>
      <c r="L351" s="304">
        <f t="shared" ca="1" si="145"/>
        <v>2956.8690724994767</v>
      </c>
      <c r="M351" s="306">
        <f t="shared" ca="1" si="161"/>
        <v>-1.1715901225566596</v>
      </c>
      <c r="N351" s="304">
        <f t="shared" ca="1" si="162"/>
        <v>-67.127169341711465</v>
      </c>
      <c r="P351" s="310">
        <f t="shared" ca="1" si="163"/>
        <v>23</v>
      </c>
      <c r="Q351" s="304">
        <f t="shared" ca="1" si="164"/>
        <v>0</v>
      </c>
      <c r="R351" s="306">
        <f t="shared" ca="1" si="165"/>
        <v>0</v>
      </c>
      <c r="S351" s="307">
        <f t="shared" ca="1" si="166"/>
        <v>1.7842999999999964</v>
      </c>
      <c r="T351" s="304">
        <f t="shared" ca="1" si="146"/>
        <v>17.503982999999966</v>
      </c>
      <c r="U351" s="311">
        <f t="shared" ca="1" si="147"/>
        <v>0</v>
      </c>
      <c r="V351" s="306">
        <f t="shared" ca="1" si="148"/>
        <v>0.91498741680075701</v>
      </c>
      <c r="W351" s="304">
        <f t="shared" ca="1" si="149"/>
        <v>2.0021430167384269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 t="e">
        <f t="shared" ca="1" si="150"/>
        <v>#N/A</v>
      </c>
      <c r="AG351" s="306">
        <f t="shared" ca="1" si="172"/>
        <v>7.9234107233775832</v>
      </c>
      <c r="AH351" s="304">
        <f t="shared" ca="1" si="173"/>
        <v>-1.0779718731156713</v>
      </c>
    </row>
    <row r="352" spans="1:34" x14ac:dyDescent="0.2">
      <c r="A352" s="347">
        <f t="shared" ca="1" si="151"/>
        <v>0.1</v>
      </c>
      <c r="B352" s="304">
        <f t="shared" ca="1" si="152"/>
        <v>27.500000000000107</v>
      </c>
      <c r="D352" s="306">
        <f t="shared" ca="1" si="153"/>
        <v>-0.4361414188741134</v>
      </c>
      <c r="E352" s="307">
        <f t="shared" ca="1" si="154"/>
        <v>-8.7761412566381054</v>
      </c>
      <c r="F352" s="304">
        <f t="shared" ca="1" si="155"/>
        <v>8.7869718728196116</v>
      </c>
      <c r="G352" s="306">
        <f t="shared" ca="1" si="156"/>
        <v>15.649407942545821</v>
      </c>
      <c r="H352" s="307">
        <f t="shared" ca="1" si="157"/>
        <v>-38.077401602040965</v>
      </c>
      <c r="I352" s="304">
        <f t="shared" ca="1" si="158"/>
        <v>41.167857385529892</v>
      </c>
      <c r="J352" s="306">
        <f t="shared" ca="1" si="159"/>
        <v>591.94698185850325</v>
      </c>
      <c r="K352" s="307">
        <f t="shared" ca="1" si="160"/>
        <v>2893.5670385259045</v>
      </c>
      <c r="L352" s="304">
        <f t="shared" ca="1" si="145"/>
        <v>2953.4947834345271</v>
      </c>
      <c r="M352" s="306">
        <f t="shared" ca="1" si="161"/>
        <v>-1.1808523845975667</v>
      </c>
      <c r="N352" s="304">
        <f t="shared" ca="1" si="162"/>
        <v>-67.657857865399663</v>
      </c>
      <c r="P352" s="310">
        <f t="shared" ca="1" si="163"/>
        <v>23</v>
      </c>
      <c r="Q352" s="304">
        <f t="shared" ca="1" si="164"/>
        <v>0</v>
      </c>
      <c r="R352" s="306">
        <f t="shared" ca="1" si="165"/>
        <v>0</v>
      </c>
      <c r="S352" s="307">
        <f t="shared" ca="1" si="166"/>
        <v>1.7842999999999964</v>
      </c>
      <c r="T352" s="304">
        <f t="shared" ca="1" si="146"/>
        <v>17.503982999999966</v>
      </c>
      <c r="U352" s="311">
        <f t="shared" ca="1" si="147"/>
        <v>0</v>
      </c>
      <c r="V352" s="306">
        <f t="shared" ca="1" si="148"/>
        <v>0.91533924541079592</v>
      </c>
      <c r="W352" s="304">
        <f t="shared" ca="1" si="149"/>
        <v>2.0824071060477016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 t="e">
        <f t="shared" ca="1" si="150"/>
        <v>#N/A</v>
      </c>
      <c r="AG352" s="306">
        <f t="shared" ca="1" si="172"/>
        <v>7.9165491741955982</v>
      </c>
      <c r="AH352" s="304">
        <f t="shared" ca="1" si="173"/>
        <v>-1.1220887836902038</v>
      </c>
    </row>
    <row r="353" spans="1:34" x14ac:dyDescent="0.2">
      <c r="A353" s="347">
        <f t="shared" ca="1" si="151"/>
        <v>0.1</v>
      </c>
      <c r="B353" s="304">
        <f t="shared" ca="1" si="152"/>
        <v>27.600000000000108</v>
      </c>
      <c r="D353" s="306">
        <f t="shared" ca="1" si="153"/>
        <v>-0.44364685682472821</v>
      </c>
      <c r="E353" s="307">
        <f t="shared" ca="1" si="154"/>
        <v>-8.730539384057348</v>
      </c>
      <c r="F353" s="304">
        <f t="shared" ca="1" si="155"/>
        <v>8.7418041885040481</v>
      </c>
      <c r="G353" s="306">
        <f t="shared" ca="1" si="156"/>
        <v>15.605043256863349</v>
      </c>
      <c r="H353" s="307">
        <f t="shared" ca="1" si="157"/>
        <v>-38.950455540446697</v>
      </c>
      <c r="I353" s="304">
        <f t="shared" ca="1" si="158"/>
        <v>41.960163987488073</v>
      </c>
      <c r="J353" s="306">
        <f t="shared" ca="1" si="159"/>
        <v>593.50970441847369</v>
      </c>
      <c r="K353" s="307">
        <f t="shared" ca="1" si="160"/>
        <v>2889.7156456687803</v>
      </c>
      <c r="L353" s="304">
        <f t="shared" ca="1" si="145"/>
        <v>2950.0356408121306</v>
      </c>
      <c r="M353" s="306">
        <f t="shared" ca="1" si="161"/>
        <v>-1.1897398351034276</v>
      </c>
      <c r="N353" s="304">
        <f t="shared" ca="1" si="162"/>
        <v>-68.167071270016905</v>
      </c>
      <c r="P353" s="310">
        <f t="shared" ca="1" si="163"/>
        <v>23</v>
      </c>
      <c r="Q353" s="304">
        <f t="shared" ca="1" si="164"/>
        <v>0</v>
      </c>
      <c r="R353" s="306">
        <f t="shared" ca="1" si="165"/>
        <v>0</v>
      </c>
      <c r="S353" s="307">
        <f t="shared" ca="1" si="166"/>
        <v>1.7842999999999964</v>
      </c>
      <c r="T353" s="304">
        <f t="shared" ca="1" si="146"/>
        <v>17.503982999999966</v>
      </c>
      <c r="U353" s="311">
        <f t="shared" ca="1" si="147"/>
        <v>0</v>
      </c>
      <c r="V353" s="306">
        <f t="shared" ca="1" si="148"/>
        <v>0.91569937602181795</v>
      </c>
      <c r="W353" s="304">
        <f t="shared" ca="1" si="149"/>
        <v>2.1641845733070499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 t="e">
        <f t="shared" ca="1" si="150"/>
        <v>#N/A</v>
      </c>
      <c r="AG353" s="306">
        <f t="shared" ca="1" si="172"/>
        <v>7.906494638186258</v>
      </c>
      <c r="AH353" s="304">
        <f t="shared" ca="1" si="173"/>
        <v>-1.1670723006488291</v>
      </c>
    </row>
    <row r="354" spans="1:34" x14ac:dyDescent="0.2">
      <c r="A354" s="347">
        <f t="shared" ca="1" si="151"/>
        <v>0.1</v>
      </c>
      <c r="B354" s="304">
        <f t="shared" ca="1" si="152"/>
        <v>27.700000000000109</v>
      </c>
      <c r="D354" s="306">
        <f t="shared" ca="1" si="153"/>
        <v>-0.45108067489076581</v>
      </c>
      <c r="E354" s="307">
        <f t="shared" ca="1" si="154"/>
        <v>-8.6840949010339994</v>
      </c>
      <c r="F354" s="304">
        <f t="shared" ca="1" si="155"/>
        <v>8.6958023221221286</v>
      </c>
      <c r="G354" s="306">
        <f t="shared" ca="1" si="156"/>
        <v>15.559935189374272</v>
      </c>
      <c r="H354" s="307">
        <f t="shared" ca="1" si="157"/>
        <v>-39.8188650305501</v>
      </c>
      <c r="I354" s="304">
        <f t="shared" ca="1" si="158"/>
        <v>42.751065430216983</v>
      </c>
      <c r="J354" s="306">
        <f t="shared" ca="1" si="159"/>
        <v>595.06795334078561</v>
      </c>
      <c r="K354" s="307">
        <f t="shared" ca="1" si="160"/>
        <v>2885.7771796402303</v>
      </c>
      <c r="L354" s="304">
        <f t="shared" ca="1" si="145"/>
        <v>2946.4921176927514</v>
      </c>
      <c r="M354" s="306">
        <f t="shared" ca="1" si="161"/>
        <v>-1.1982738841889573</v>
      </c>
      <c r="N354" s="304">
        <f t="shared" ca="1" si="162"/>
        <v>-68.656036264775238</v>
      </c>
      <c r="P354" s="310">
        <f t="shared" ca="1" si="163"/>
        <v>23</v>
      </c>
      <c r="Q354" s="304">
        <f t="shared" ca="1" si="164"/>
        <v>0</v>
      </c>
      <c r="R354" s="306">
        <f t="shared" ca="1" si="165"/>
        <v>0</v>
      </c>
      <c r="S354" s="307">
        <f t="shared" ca="1" si="166"/>
        <v>1.7842999999999964</v>
      </c>
      <c r="T354" s="304">
        <f t="shared" ca="1" si="146"/>
        <v>17.503982999999966</v>
      </c>
      <c r="U354" s="311">
        <f t="shared" ca="1" si="147"/>
        <v>0</v>
      </c>
      <c r="V354" s="306">
        <f t="shared" ca="1" si="148"/>
        <v>0.91606777390071115</v>
      </c>
      <c r="W354" s="304">
        <f t="shared" ca="1" si="149"/>
        <v>2.2474421192579515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 t="e">
        <f t="shared" ca="1" si="150"/>
        <v>#N/A</v>
      </c>
      <c r="AG354" s="306">
        <f t="shared" ca="1" si="172"/>
        <v>7.8934467226224694</v>
      </c>
      <c r="AH354" s="304">
        <f t="shared" ca="1" si="173"/>
        <v>-1.2129039810049063</v>
      </c>
    </row>
    <row r="355" spans="1:34" x14ac:dyDescent="0.2">
      <c r="A355" s="347">
        <f t="shared" ca="1" si="151"/>
        <v>0.1</v>
      </c>
      <c r="B355" s="304">
        <f t="shared" ca="1" si="152"/>
        <v>27.800000000000111</v>
      </c>
      <c r="D355" s="306">
        <f t="shared" ca="1" si="153"/>
        <v>-0.45843892067721947</v>
      </c>
      <c r="E355" s="307">
        <f t="shared" ca="1" si="154"/>
        <v>-8.6368256078815104</v>
      </c>
      <c r="F355" s="304">
        <f t="shared" ca="1" si="155"/>
        <v>8.648983918643248</v>
      </c>
      <c r="G355" s="306">
        <f t="shared" ca="1" si="156"/>
        <v>15.51409129730655</v>
      </c>
      <c r="H355" s="307">
        <f t="shared" ca="1" si="157"/>
        <v>-40.682547591338249</v>
      </c>
      <c r="I355" s="304">
        <f t="shared" ca="1" si="158"/>
        <v>43.540288323605118</v>
      </c>
      <c r="J355" s="306">
        <f t="shared" ca="1" si="159"/>
        <v>596.62165466511965</v>
      </c>
      <c r="K355" s="307">
        <f t="shared" ca="1" si="160"/>
        <v>2881.7521090091359</v>
      </c>
      <c r="L355" s="304">
        <f t="shared" ca="1" si="145"/>
        <v>2942.8646955974627</v>
      </c>
      <c r="M355" s="306">
        <f t="shared" ca="1" si="161"/>
        <v>-1.2064744423967693</v>
      </c>
      <c r="N355" s="304">
        <f t="shared" ca="1" si="162"/>
        <v>-69.12589363973423</v>
      </c>
      <c r="P355" s="310">
        <f t="shared" ca="1" si="163"/>
        <v>23</v>
      </c>
      <c r="Q355" s="304">
        <f t="shared" ca="1" si="164"/>
        <v>0</v>
      </c>
      <c r="R355" s="306">
        <f t="shared" ca="1" si="165"/>
        <v>0</v>
      </c>
      <c r="S355" s="307">
        <f t="shared" ca="1" si="166"/>
        <v>1.7842999999999964</v>
      </c>
      <c r="T355" s="304">
        <f t="shared" ca="1" si="146"/>
        <v>17.503982999999966</v>
      </c>
      <c r="U355" s="311">
        <f t="shared" ca="1" si="147"/>
        <v>0</v>
      </c>
      <c r="V355" s="306">
        <f t="shared" ca="1" si="148"/>
        <v>0.91644440366991986</v>
      </c>
      <c r="W355" s="304">
        <f t="shared" ca="1" si="149"/>
        <v>2.3321460785522028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 t="e">
        <f t="shared" ca="1" si="150"/>
        <v>#N/A</v>
      </c>
      <c r="AG355" s="306">
        <f t="shared" ca="1" si="172"/>
        <v>7.8775887779529237</v>
      </c>
      <c r="AH355" s="304">
        <f t="shared" ca="1" si="173"/>
        <v>-1.2595651623930706</v>
      </c>
    </row>
    <row r="356" spans="1:34" x14ac:dyDescent="0.2">
      <c r="A356" s="347">
        <f t="shared" ca="1" si="151"/>
        <v>0.1</v>
      </c>
      <c r="B356" s="304">
        <f t="shared" ca="1" si="152"/>
        <v>27.900000000000112</v>
      </c>
      <c r="D356" s="306">
        <f t="shared" ca="1" si="153"/>
        <v>-0.46571788509288081</v>
      </c>
      <c r="E356" s="307">
        <f t="shared" ca="1" si="154"/>
        <v>-8.5887496114762527</v>
      </c>
      <c r="F356" s="304">
        <f t="shared" ca="1" si="155"/>
        <v>8.6013669284090462</v>
      </c>
      <c r="G356" s="306">
        <f t="shared" ca="1" si="156"/>
        <v>15.467519508797261</v>
      </c>
      <c r="H356" s="307">
        <f t="shared" ca="1" si="157"/>
        <v>-41.541422552485876</v>
      </c>
      <c r="I356" s="304">
        <f t="shared" ca="1" si="158"/>
        <v>44.327575474406515</v>
      </c>
      <c r="J356" s="306">
        <f t="shared" ca="1" si="159"/>
        <v>598.17073520542488</v>
      </c>
      <c r="K356" s="307">
        <f t="shared" ca="1" si="160"/>
        <v>2877.6409105019447</v>
      </c>
      <c r="L356" s="304">
        <f t="shared" ca="1" si="145"/>
        <v>2939.1538643376025</v>
      </c>
      <c r="M356" s="306">
        <f t="shared" ca="1" si="161"/>
        <v>-1.21436003929339</v>
      </c>
      <c r="N356" s="304">
        <f t="shared" ca="1" si="162"/>
        <v>-69.577705060852054</v>
      </c>
      <c r="P356" s="310">
        <f t="shared" ca="1" si="163"/>
        <v>23</v>
      </c>
      <c r="Q356" s="304">
        <f t="shared" ca="1" si="164"/>
        <v>0</v>
      </c>
      <c r="R356" s="306">
        <f t="shared" ca="1" si="165"/>
        <v>0</v>
      </c>
      <c r="S356" s="307">
        <f t="shared" ca="1" si="166"/>
        <v>1.7842999999999964</v>
      </c>
      <c r="T356" s="304">
        <f t="shared" ca="1" si="146"/>
        <v>17.503982999999966</v>
      </c>
      <c r="U356" s="311">
        <f t="shared" ca="1" si="147"/>
        <v>0</v>
      </c>
      <c r="V356" s="306">
        <f t="shared" ca="1" si="148"/>
        <v>0.91682922931999644</v>
      </c>
      <c r="W356" s="304">
        <f t="shared" ca="1" si="149"/>
        <v>2.418262445234507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 t="e">
        <f t="shared" ca="1" si="150"/>
        <v>#N/A</v>
      </c>
      <c r="AG356" s="306">
        <f t="shared" ca="1" si="172"/>
        <v>7.8590895514427785</v>
      </c>
      <c r="AH356" s="304">
        <f t="shared" ca="1" si="173"/>
        <v>-1.3070369772752382</v>
      </c>
    </row>
    <row r="357" spans="1:34" x14ac:dyDescent="0.2">
      <c r="A357" s="347">
        <f t="shared" ca="1" si="151"/>
        <v>0.1</v>
      </c>
      <c r="B357" s="304">
        <f t="shared" ca="1" si="152"/>
        <v>28.000000000000114</v>
      </c>
      <c r="D357" s="306">
        <f t="shared" ca="1" si="153"/>
        <v>-0.47291408668160695</v>
      </c>
      <c r="E357" s="307">
        <f t="shared" ca="1" si="154"/>
        <v>-8.5398852996635934</v>
      </c>
      <c r="F357" s="304">
        <f t="shared" ca="1" si="155"/>
        <v>8.5529695816594735</v>
      </c>
      <c r="G357" s="306">
        <f t="shared" ca="1" si="156"/>
        <v>15.420228100129101</v>
      </c>
      <c r="H357" s="307">
        <f t="shared" ca="1" si="157"/>
        <v>-42.395411082452235</v>
      </c>
      <c r="I357" s="304">
        <f t="shared" ca="1" si="158"/>
        <v>45.112684640909201</v>
      </c>
      <c r="J357" s="306">
        <f t="shared" ca="1" si="159"/>
        <v>599.7151225858712</v>
      </c>
      <c r="K357" s="307">
        <f t="shared" ca="1" si="160"/>
        <v>2873.444068820198</v>
      </c>
      <c r="L357" s="304">
        <f t="shared" ca="1" si="145"/>
        <v>2935.3601218412982</v>
      </c>
      <c r="M357" s="306">
        <f t="shared" ca="1" si="161"/>
        <v>-1.2219479322712361</v>
      </c>
      <c r="N357" s="304">
        <f t="shared" ca="1" si="162"/>
        <v>-70.012459303879595</v>
      </c>
      <c r="P357" s="310">
        <f t="shared" ca="1" si="163"/>
        <v>23</v>
      </c>
      <c r="Q357" s="304">
        <f t="shared" ca="1" si="164"/>
        <v>0</v>
      </c>
      <c r="R357" s="306">
        <f t="shared" ca="1" si="165"/>
        <v>0</v>
      </c>
      <c r="S357" s="307">
        <f t="shared" ca="1" si="166"/>
        <v>1.7842999999999964</v>
      </c>
      <c r="T357" s="304">
        <f t="shared" ca="1" si="146"/>
        <v>17.503982999999966</v>
      </c>
      <c r="U357" s="311">
        <f t="shared" ca="1" si="147"/>
        <v>0</v>
      </c>
      <c r="V357" s="306">
        <f t="shared" ca="1" si="148"/>
        <v>0.91722221422239014</v>
      </c>
      <c r="W357" s="304">
        <f t="shared" ca="1" si="149"/>
        <v>2.5057568983163492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>
        <f t="shared" ca="1" si="170"/>
        <v>28.000000000000114</v>
      </c>
      <c r="AD357" s="323">
        <f t="shared" ca="1" si="171"/>
        <v>599.7151225858712</v>
      </c>
      <c r="AE357" s="324" t="e">
        <f t="shared" ca="1" si="150"/>
        <v>#N/A</v>
      </c>
      <c r="AG357" s="306">
        <f t="shared" ca="1" si="172"/>
        <v>7.8381046606521352</v>
      </c>
      <c r="AH357" s="304">
        <f t="shared" ca="1" si="173"/>
        <v>-1.3553003672221666</v>
      </c>
    </row>
    <row r="358" spans="1:34" x14ac:dyDescent="0.2">
      <c r="A358" s="347">
        <f t="shared" ca="1" si="151"/>
        <v>0.1</v>
      </c>
      <c r="B358" s="304">
        <f t="shared" ca="1" si="152"/>
        <v>28.100000000000115</v>
      </c>
      <c r="D358" s="306">
        <f t="shared" ca="1" si="153"/>
        <v>-0.48002425750436767</v>
      </c>
      <c r="E358" s="307">
        <f t="shared" ca="1" si="154"/>
        <v>-8.4902513170167566</v>
      </c>
      <c r="F358" s="304">
        <f t="shared" ca="1" si="155"/>
        <v>8.503810364412967</v>
      </c>
      <c r="G358" s="306">
        <f t="shared" ca="1" si="156"/>
        <v>15.372225674378665</v>
      </c>
      <c r="H358" s="307">
        <f t="shared" ca="1" si="157"/>
        <v>-43.244436214153907</v>
      </c>
      <c r="I358" s="304">
        <f t="shared" ca="1" si="158"/>
        <v>45.895387411634864</v>
      </c>
      <c r="J358" s="306">
        <f t="shared" ca="1" si="159"/>
        <v>601.25474527459664</v>
      </c>
      <c r="K358" s="307">
        <f t="shared" ca="1" si="160"/>
        <v>2869.1620764553677</v>
      </c>
      <c r="L358" s="304">
        <f t="shared" ca="1" si="145"/>
        <v>2931.4839739771555</v>
      </c>
      <c r="M358" s="306">
        <f t="shared" ca="1" si="161"/>
        <v>-1.2292542062945122</v>
      </c>
      <c r="N358" s="304">
        <f t="shared" ca="1" si="162"/>
        <v>-70.431077969379388</v>
      </c>
      <c r="P358" s="310">
        <f t="shared" ca="1" si="163"/>
        <v>23</v>
      </c>
      <c r="Q358" s="304">
        <f t="shared" ca="1" si="164"/>
        <v>0</v>
      </c>
      <c r="R358" s="306">
        <f t="shared" ca="1" si="165"/>
        <v>0</v>
      </c>
      <c r="S358" s="307">
        <f t="shared" ca="1" si="166"/>
        <v>1.7842999999999964</v>
      </c>
      <c r="T358" s="304">
        <f t="shared" ca="1" si="146"/>
        <v>17.503982999999966</v>
      </c>
      <c r="U358" s="311">
        <f t="shared" ca="1" si="147"/>
        <v>0</v>
      </c>
      <c r="V358" s="306">
        <f t="shared" ca="1" si="148"/>
        <v>0.91762332114246026</v>
      </c>
      <c r="W358" s="304">
        <f t="shared" ca="1" si="149"/>
        <v>2.5945948273995398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 t="e">
        <f t="shared" ca="1" si="150"/>
        <v>#N/A</v>
      </c>
      <c r="AG358" s="306">
        <f t="shared" ca="1" si="172"/>
        <v>7.8147779064837151</v>
      </c>
      <c r="AH358" s="304">
        <f t="shared" ca="1" si="173"/>
        <v>-1.4043360972461774</v>
      </c>
    </row>
    <row r="359" spans="1:34" x14ac:dyDescent="0.2">
      <c r="A359" s="347">
        <f t="shared" ca="1" si="151"/>
        <v>0.1</v>
      </c>
      <c r="B359" s="304">
        <f t="shared" ca="1" si="152"/>
        <v>28.200000000000117</v>
      </c>
      <c r="D359" s="306">
        <f t="shared" ca="1" si="153"/>
        <v>-0.48704533039769377</v>
      </c>
      <c r="E359" s="307">
        <f t="shared" ca="1" si="154"/>
        <v>-8.4398665417793577</v>
      </c>
      <c r="F359" s="304">
        <f t="shared" ca="1" si="155"/>
        <v>8.453907995531349</v>
      </c>
      <c r="G359" s="306">
        <f t="shared" ca="1" si="156"/>
        <v>15.323521141338896</v>
      </c>
      <c r="H359" s="307">
        <f t="shared" ca="1" si="157"/>
        <v>-44.08842286833184</v>
      </c>
      <c r="I359" s="304">
        <f t="shared" ca="1" si="158"/>
        <v>46.675468194608463</v>
      </c>
      <c r="J359" s="306">
        <f t="shared" ca="1" si="159"/>
        <v>602.78953261538254</v>
      </c>
      <c r="K359" s="307">
        <f t="shared" ca="1" si="160"/>
        <v>2864.7954335012432</v>
      </c>
      <c r="L359" s="304">
        <f t="shared" ca="1" si="145"/>
        <v>2927.5259343753469</v>
      </c>
      <c r="M359" s="306">
        <f t="shared" ca="1" si="161"/>
        <v>-1.2362938653000946</v>
      </c>
      <c r="N359" s="304">
        <f t="shared" ca="1" si="162"/>
        <v>-70.83442071961052</v>
      </c>
      <c r="P359" s="310">
        <f t="shared" ca="1" si="163"/>
        <v>23</v>
      </c>
      <c r="Q359" s="304">
        <f t="shared" ca="1" si="164"/>
        <v>0</v>
      </c>
      <c r="R359" s="306">
        <f t="shared" ca="1" si="165"/>
        <v>0</v>
      </c>
      <c r="S359" s="307">
        <f t="shared" ca="1" si="166"/>
        <v>1.7842999999999964</v>
      </c>
      <c r="T359" s="304">
        <f t="shared" ca="1" si="146"/>
        <v>17.503982999999966</v>
      </c>
      <c r="U359" s="311">
        <f t="shared" ca="1" si="147"/>
        <v>0</v>
      </c>
      <c r="V359" s="306">
        <f t="shared" ca="1" si="148"/>
        <v>0.91803251225268978</v>
      </c>
      <c r="W359" s="304">
        <f t="shared" ca="1" si="149"/>
        <v>2.6847413583094912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 t="e">
        <f t="shared" ca="1" si="150"/>
        <v>#N/A</v>
      </c>
      <c r="AG359" s="306">
        <f t="shared" ca="1" si="172"/>
        <v>7.7892424435401244</v>
      </c>
      <c r="AH359" s="304">
        <f t="shared" ca="1" si="173"/>
        <v>-1.4541247701617133</v>
      </c>
    </row>
    <row r="360" spans="1:34" x14ac:dyDescent="0.2">
      <c r="A360" s="347">
        <f t="shared" ca="1" si="151"/>
        <v>0.1</v>
      </c>
      <c r="B360" s="304">
        <f t="shared" ca="1" si="152"/>
        <v>28.300000000000118</v>
      </c>
      <c r="D360" s="306">
        <f t="shared" ca="1" si="153"/>
        <v>-0.49397442745373693</v>
      </c>
      <c r="E360" s="307">
        <f t="shared" ca="1" si="154"/>
        <v>-8.3887500638499102</v>
      </c>
      <c r="F360" s="304">
        <f t="shared" ca="1" si="155"/>
        <v>8.4032814048275295</v>
      </c>
      <c r="G360" s="306">
        <f t="shared" ca="1" si="156"/>
        <v>15.274123698593522</v>
      </c>
      <c r="H360" s="307">
        <f t="shared" ca="1" si="157"/>
        <v>-44.927297874716828</v>
      </c>
      <c r="I360" s="304">
        <f t="shared" ca="1" si="158"/>
        <v>47.452723305237939</v>
      </c>
      <c r="J360" s="306">
        <f t="shared" ca="1" si="159"/>
        <v>604.31941485737912</v>
      </c>
      <c r="K360" s="307">
        <f t="shared" ca="1" si="160"/>
        <v>2860.3446474640909</v>
      </c>
      <c r="L360" s="304">
        <f t="shared" ca="1" si="145"/>
        <v>2923.4865242463561</v>
      </c>
      <c r="M360" s="306">
        <f t="shared" ca="1" si="161"/>
        <v>-1.2430809159294169</v>
      </c>
      <c r="N360" s="304">
        <f t="shared" ca="1" si="162"/>
        <v>-71.22329007601229</v>
      </c>
      <c r="P360" s="310">
        <f t="shared" ca="1" si="163"/>
        <v>23</v>
      </c>
      <c r="Q360" s="304">
        <f t="shared" ca="1" si="164"/>
        <v>0</v>
      </c>
      <c r="R360" s="306">
        <f t="shared" ca="1" si="165"/>
        <v>0</v>
      </c>
      <c r="S360" s="307">
        <f t="shared" ca="1" si="166"/>
        <v>1.7842999999999964</v>
      </c>
      <c r="T360" s="304">
        <f t="shared" ca="1" si="146"/>
        <v>17.503982999999966</v>
      </c>
      <c r="U360" s="311">
        <f t="shared" ca="1" si="147"/>
        <v>0</v>
      </c>
      <c r="V360" s="306">
        <f t="shared" ca="1" si="148"/>
        <v>0.91844974914608712</v>
      </c>
      <c r="W360" s="304">
        <f t="shared" ca="1" si="149"/>
        <v>2.7761613786999098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 t="e">
        <f t="shared" ca="1" si="150"/>
        <v>#N/A</v>
      </c>
      <c r="AG360" s="306">
        <f t="shared" ca="1" si="172"/>
        <v>7.761621823672237</v>
      </c>
      <c r="AH360" s="304">
        <f t="shared" ca="1" si="173"/>
        <v>-1.5046468409513516</v>
      </c>
    </row>
    <row r="361" spans="1:34" x14ac:dyDescent="0.2">
      <c r="A361" s="347">
        <f t="shared" ca="1" si="151"/>
        <v>0.1</v>
      </c>
      <c r="B361" s="304">
        <f t="shared" ca="1" si="152"/>
        <v>28.400000000000119</v>
      </c>
      <c r="D361" s="306">
        <f t="shared" ca="1" si="153"/>
        <v>-0.5008088495846692</v>
      </c>
      <c r="E361" s="307">
        <f t="shared" ca="1" si="154"/>
        <v>-8.3369211636896381</v>
      </c>
      <c r="F361" s="304">
        <f t="shared" ca="1" si="155"/>
        <v>8.3519497120970811</v>
      </c>
      <c r="G361" s="306">
        <f t="shared" ca="1" si="156"/>
        <v>15.224042813635055</v>
      </c>
      <c r="H361" s="307">
        <f t="shared" ca="1" si="157"/>
        <v>-45.760989991085793</v>
      </c>
      <c r="I361" s="304">
        <f t="shared" ca="1" si="158"/>
        <v>48.226960142182371</v>
      </c>
      <c r="J361" s="306">
        <f t="shared" ca="1" si="159"/>
        <v>605.84432318299059</v>
      </c>
      <c r="K361" s="307">
        <f t="shared" ca="1" si="160"/>
        <v>2855.8102330708007</v>
      </c>
      <c r="L361" s="304">
        <f t="shared" ca="1" si="145"/>
        <v>2919.3662721976075</v>
      </c>
      <c r="M361" s="306">
        <f t="shared" ca="1" si="161"/>
        <v>-1.2496284442275718</v>
      </c>
      <c r="N361" s="304">
        <f t="shared" ca="1" si="162"/>
        <v>-71.598435813739044</v>
      </c>
      <c r="P361" s="310">
        <f t="shared" ca="1" si="163"/>
        <v>23</v>
      </c>
      <c r="Q361" s="304">
        <f t="shared" ca="1" si="164"/>
        <v>0</v>
      </c>
      <c r="R361" s="306">
        <f t="shared" ca="1" si="165"/>
        <v>0</v>
      </c>
      <c r="S361" s="307">
        <f t="shared" ca="1" si="166"/>
        <v>1.7842999999999964</v>
      </c>
      <c r="T361" s="304">
        <f t="shared" ca="1" si="146"/>
        <v>17.503982999999966</v>
      </c>
      <c r="U361" s="311">
        <f t="shared" ca="1" si="147"/>
        <v>0</v>
      </c>
      <c r="V361" s="306">
        <f t="shared" ca="1" si="148"/>
        <v>0.91887499284975438</v>
      </c>
      <c r="W361" s="304">
        <f t="shared" ca="1" si="149"/>
        <v>2.8688195635921265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 t="e">
        <f t="shared" ca="1" si="150"/>
        <v>#N/A</v>
      </c>
      <c r="AG361" s="306">
        <f t="shared" ca="1" si="172"/>
        <v>7.7320309268890544</v>
      </c>
      <c r="AH361" s="304">
        <f t="shared" ca="1" si="173"/>
        <v>-1.5558826311157963</v>
      </c>
    </row>
    <row r="362" spans="1:34" x14ac:dyDescent="0.2">
      <c r="A362" s="347">
        <f t="shared" ca="1" si="151"/>
        <v>0.1</v>
      </c>
      <c r="B362" s="304">
        <f t="shared" ca="1" si="152"/>
        <v>28.500000000000121</v>
      </c>
      <c r="D362" s="306">
        <f t="shared" ca="1" si="153"/>
        <v>-0.5075460670497276</v>
      </c>
      <c r="E362" s="307">
        <f t="shared" ca="1" si="154"/>
        <v>-8.2843992920542835</v>
      </c>
      <c r="F362" s="304">
        <f t="shared" ca="1" si="155"/>
        <v>8.299932206974173</v>
      </c>
      <c r="G362" s="306">
        <f t="shared" ca="1" si="156"/>
        <v>15.173288206930083</v>
      </c>
      <c r="H362" s="307">
        <f t="shared" ca="1" si="157"/>
        <v>-46.589429920291224</v>
      </c>
      <c r="I362" s="304">
        <f t="shared" ca="1" si="158"/>
        <v>48.997996441775967</v>
      </c>
      <c r="J362" s="306">
        <f t="shared" ca="1" si="159"/>
        <v>607.36418973401885</v>
      </c>
      <c r="K362" s="307">
        <f t="shared" ca="1" si="160"/>
        <v>2851.1927120752316</v>
      </c>
      <c r="L362" s="304">
        <f t="shared" ca="1" si="145"/>
        <v>2915.1657140482039</v>
      </c>
      <c r="M362" s="306">
        <f t="shared" ca="1" si="161"/>
        <v>-1.255948685903695</v>
      </c>
      <c r="N362" s="304">
        <f t="shared" ca="1" si="162"/>
        <v>-71.960558987283591</v>
      </c>
      <c r="P362" s="310">
        <f t="shared" ca="1" si="163"/>
        <v>23</v>
      </c>
      <c r="Q362" s="304">
        <f t="shared" ca="1" si="164"/>
        <v>0</v>
      </c>
      <c r="R362" s="306">
        <f t="shared" ca="1" si="165"/>
        <v>0</v>
      </c>
      <c r="S362" s="307">
        <f t="shared" ca="1" si="166"/>
        <v>1.7842999999999964</v>
      </c>
      <c r="T362" s="304">
        <f t="shared" ca="1" si="146"/>
        <v>17.503982999999966</v>
      </c>
      <c r="U362" s="311">
        <f t="shared" ca="1" si="147"/>
        <v>0</v>
      </c>
      <c r="V362" s="306">
        <f t="shared" ca="1" si="148"/>
        <v>0.91930820383861145</v>
      </c>
      <c r="W362" s="304">
        <f t="shared" ca="1" si="149"/>
        <v>2.9626804008137277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 t="e">
        <f t="shared" ca="1" si="150"/>
        <v>#N/A</v>
      </c>
      <c r="AG362" s="306">
        <f t="shared" ca="1" si="172"/>
        <v>7.7005767922404988</v>
      </c>
      <c r="AH362" s="304">
        <f t="shared" ca="1" si="173"/>
        <v>-1.60781234298724</v>
      </c>
    </row>
    <row r="363" spans="1:34" x14ac:dyDescent="0.2">
      <c r="A363" s="347">
        <f t="shared" ca="1" si="151"/>
        <v>0.1</v>
      </c>
      <c r="B363" s="304">
        <f t="shared" ca="1" si="152"/>
        <v>28.600000000000122</v>
      </c>
      <c r="D363" s="306">
        <f t="shared" ca="1" si="153"/>
        <v>-0.51418371083705716</v>
      </c>
      <c r="E363" s="307">
        <f t="shared" ca="1" si="154"/>
        <v>-8.2312040504669799</v>
      </c>
      <c r="F363" s="304">
        <f t="shared" ca="1" si="155"/>
        <v>8.2472483295287162</v>
      </c>
      <c r="G363" s="306">
        <f t="shared" ca="1" si="156"/>
        <v>15.121869835846377</v>
      </c>
      <c r="H363" s="307">
        <f t="shared" ca="1" si="157"/>
        <v>-47.412550325337925</v>
      </c>
      <c r="I363" s="304">
        <f t="shared" ca="1" si="158"/>
        <v>49.76565960263143</v>
      </c>
      <c r="J363" s="306">
        <f t="shared" ca="1" si="159"/>
        <v>608.8789476361577</v>
      </c>
      <c r="K363" s="307">
        <f t="shared" ca="1" si="160"/>
        <v>2846.4926130629501</v>
      </c>
      <c r="L363" s="304">
        <f t="shared" ca="1" si="145"/>
        <v>2910.8853926419806</v>
      </c>
      <c r="M363" s="306">
        <f t="shared" ca="1" si="161"/>
        <v>-1.262053090703958</v>
      </c>
      <c r="N363" s="304">
        <f t="shared" ca="1" si="162"/>
        <v>-72.310315618778063</v>
      </c>
      <c r="P363" s="310">
        <f t="shared" ca="1" si="163"/>
        <v>23</v>
      </c>
      <c r="Q363" s="304">
        <f t="shared" ca="1" si="164"/>
        <v>0</v>
      </c>
      <c r="R363" s="306">
        <f t="shared" ca="1" si="165"/>
        <v>0</v>
      </c>
      <c r="S363" s="307">
        <f t="shared" ca="1" si="166"/>
        <v>1.7842999999999964</v>
      </c>
      <c r="T363" s="304">
        <f t="shared" ca="1" si="146"/>
        <v>17.503982999999966</v>
      </c>
      <c r="U363" s="311">
        <f t="shared" ca="1" si="147"/>
        <v>0</v>
      </c>
      <c r="V363" s="306">
        <f t="shared" ca="1" si="148"/>
        <v>0.91974934204925829</v>
      </c>
      <c r="W363" s="304">
        <f t="shared" ca="1" si="149"/>
        <v>3.0577082163025309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 t="e">
        <f t="shared" ca="1" si="150"/>
        <v>#N/A</v>
      </c>
      <c r="AG363" s="306">
        <f t="shared" ca="1" si="172"/>
        <v>7.6673593598757384</v>
      </c>
      <c r="AH363" s="304">
        <f t="shared" ca="1" si="173"/>
        <v>-1.6604160739862879</v>
      </c>
    </row>
    <row r="364" spans="1:34" x14ac:dyDescent="0.2">
      <c r="A364" s="347">
        <f t="shared" ca="1" si="151"/>
        <v>0.1</v>
      </c>
      <c r="B364" s="304">
        <f t="shared" ca="1" si="152"/>
        <v>28.700000000000124</v>
      </c>
      <c r="D364" s="306">
        <f t="shared" ca="1" si="153"/>
        <v>-0.52071956480478887</v>
      </c>
      <c r="E364" s="307">
        <f t="shared" ca="1" si="154"/>
        <v>-8.1773551723629634</v>
      </c>
      <c r="F364" s="304">
        <f t="shared" ca="1" si="155"/>
        <v>8.1939176515353012</v>
      </c>
      <c r="G364" s="306">
        <f t="shared" ca="1" si="156"/>
        <v>15.069797879365899</v>
      </c>
      <c r="H364" s="307">
        <f t="shared" ca="1" si="157"/>
        <v>-48.230285842574219</v>
      </c>
      <c r="I364" s="304">
        <f t="shared" ca="1" si="158"/>
        <v>50.529786072982297</v>
      </c>
      <c r="J364" s="306">
        <f t="shared" ca="1" si="159"/>
        <v>610.38853102191831</v>
      </c>
      <c r="K364" s="307">
        <f t="shared" ca="1" si="160"/>
        <v>2841.7104712545547</v>
      </c>
      <c r="L364" s="304">
        <f t="shared" ca="1" si="145"/>
        <v>2906.525857659085</v>
      </c>
      <c r="M364" s="306">
        <f t="shared" ca="1" si="161"/>
        <v>-1.2679523814063527</v>
      </c>
      <c r="N364" s="304">
        <f t="shared" ca="1" si="162"/>
        <v>-72.648320078146043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1.7842999999999964</v>
      </c>
      <c r="T364" s="304">
        <f t="shared" ca="1" si="146"/>
        <v>17.503982999999966</v>
      </c>
      <c r="U364" s="311">
        <f t="shared" ca="1" si="147"/>
        <v>0</v>
      </c>
      <c r="V364" s="306">
        <f t="shared" ca="1" si="148"/>
        <v>0.92019836689396284</v>
      </c>
      <c r="W364" s="304">
        <f t="shared" ca="1" si="149"/>
        <v>3.1538671992433107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 t="e">
        <f t="shared" ca="1" si="150"/>
        <v>#N/A</v>
      </c>
      <c r="AG364" s="306">
        <f t="shared" ca="1" si="172"/>
        <v>7.6324721342140212</v>
      </c>
      <c r="AH364" s="304">
        <f t="shared" ca="1" si="173"/>
        <v>-1.713673830803417</v>
      </c>
    </row>
    <row r="365" spans="1:34" x14ac:dyDescent="0.2">
      <c r="A365" s="347">
        <f t="shared" ca="1" si="151"/>
        <v>0.1</v>
      </c>
      <c r="B365" s="304">
        <f t="shared" ca="1" si="152"/>
        <v>28.800000000000125</v>
      </c>
      <c r="D365" s="306">
        <f t="shared" ca="1" si="153"/>
        <v>-0.52715155849667295</v>
      </c>
      <c r="E365" s="307">
        <f t="shared" ca="1" si="154"/>
        <v>-8.1228725048485639</v>
      </c>
      <c r="F365" s="304">
        <f t="shared" ca="1" si="155"/>
        <v>8.1399598583561978</v>
      </c>
      <c r="G365" s="306">
        <f t="shared" ca="1" si="156"/>
        <v>15.017082723516232</v>
      </c>
      <c r="H365" s="307">
        <f t="shared" ca="1" si="157"/>
        <v>-49.042573093059076</v>
      </c>
      <c r="I365" s="304">
        <f t="shared" ca="1" si="158"/>
        <v>51.290220794153072</v>
      </c>
      <c r="J365" s="306">
        <f t="shared" ca="1" si="159"/>
        <v>611.89287505206244</v>
      </c>
      <c r="K365" s="307">
        <f t="shared" ca="1" si="160"/>
        <v>2836.8468283077732</v>
      </c>
      <c r="L365" s="304">
        <f t="shared" ca="1" si="145"/>
        <v>2902.0876654262793</v>
      </c>
      <c r="M365" s="306">
        <f t="shared" ca="1" si="161"/>
        <v>-1.2736566079057381</v>
      </c>
      <c r="N365" s="304">
        <f t="shared" ca="1" si="162"/>
        <v>-72.975148181947517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1.7842999999999964</v>
      </c>
      <c r="T365" s="304">
        <f t="shared" ca="1" si="146"/>
        <v>17.503982999999966</v>
      </c>
      <c r="U365" s="311">
        <f t="shared" ca="1" si="147"/>
        <v>0</v>
      </c>
      <c r="V365" s="306">
        <f t="shared" ca="1" si="148"/>
        <v>0.92065523727475707</v>
      </c>
      <c r="W365" s="304">
        <f t="shared" ca="1" si="149"/>
        <v>3.2511214270059963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 t="e">
        <f t="shared" ca="1" si="150"/>
        <v>#N/A</v>
      </c>
      <c r="AG365" s="306">
        <f t="shared" ca="1" si="172"/>
        <v>7.5960027770337621</v>
      </c>
      <c r="AH365" s="304">
        <f t="shared" ca="1" si="173"/>
        <v>-1.767565543486699</v>
      </c>
    </row>
    <row r="366" spans="1:34" x14ac:dyDescent="0.2">
      <c r="A366" s="347">
        <f t="shared" ca="1" si="151"/>
        <v>0.1</v>
      </c>
      <c r="B366" s="304">
        <f t="shared" ca="1" si="152"/>
        <v>28.900000000000126</v>
      </c>
      <c r="D366" s="306">
        <f t="shared" ca="1" si="153"/>
        <v>-0.53347776055722773</v>
      </c>
      <c r="E366" s="307">
        <f t="shared" ca="1" si="154"/>
        <v>-8.0677759910266218</v>
      </c>
      <c r="F366" s="304">
        <f t="shared" ca="1" si="155"/>
        <v>8.0853947313903447</v>
      </c>
      <c r="G366" s="306">
        <f t="shared" ca="1" si="156"/>
        <v>14.963734947460509</v>
      </c>
      <c r="H366" s="307">
        <f t="shared" ca="1" si="157"/>
        <v>-49.849350692161735</v>
      </c>
      <c r="I366" s="304">
        <f t="shared" ca="1" si="158"/>
        <v>52.046816694279933</v>
      </c>
      <c r="J366" s="306">
        <f t="shared" ca="1" si="159"/>
        <v>613.39191593561122</v>
      </c>
      <c r="K366" s="307">
        <f t="shared" ca="1" si="160"/>
        <v>2831.9022321185121</v>
      </c>
      <c r="L366" s="304">
        <f t="shared" ca="1" si="145"/>
        <v>2897.5713787261516</v>
      </c>
      <c r="M366" s="306">
        <f t="shared" ca="1" si="161"/>
        <v>-1.2791751968188405</v>
      </c>
      <c r="N366" s="304">
        <f t="shared" ca="1" si="162"/>
        <v>-73.291340035535967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1.7842999999999964</v>
      </c>
      <c r="T366" s="304">
        <f t="shared" ca="1" si="146"/>
        <v>17.503982999999966</v>
      </c>
      <c r="U366" s="311">
        <f t="shared" ca="1" si="147"/>
        <v>0</v>
      </c>
      <c r="V366" s="306">
        <f t="shared" ca="1" si="148"/>
        <v>0.92111991159763396</v>
      </c>
      <c r="W366" s="304">
        <f t="shared" ca="1" si="149"/>
        <v>3.3494348898553099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 t="e">
        <f t="shared" ca="1" si="150"/>
        <v>#N/A</v>
      </c>
      <c r="AG366" s="306">
        <f t="shared" ca="1" si="172"/>
        <v>7.558033638277835</v>
      </c>
      <c r="AH366" s="304">
        <f t="shared" ca="1" si="173"/>
        <v>-1.8220710794182609</v>
      </c>
    </row>
    <row r="367" spans="1:34" x14ac:dyDescent="0.2">
      <c r="A367" s="347">
        <f t="shared" ca="1" si="151"/>
        <v>0.1</v>
      </c>
      <c r="B367" s="304">
        <f t="shared" ca="1" si="152"/>
        <v>29.000000000000128</v>
      </c>
      <c r="D367" s="306">
        <f t="shared" ca="1" si="153"/>
        <v>-0.5396963726798929</v>
      </c>
      <c r="E367" s="307">
        <f t="shared" ca="1" si="154"/>
        <v>-8.0120856528487643</v>
      </c>
      <c r="F367" s="304">
        <f t="shared" ca="1" si="155"/>
        <v>8.0302421310486558</v>
      </c>
      <c r="G367" s="306">
        <f t="shared" ca="1" si="156"/>
        <v>14.909765310192519</v>
      </c>
      <c r="H367" s="307">
        <f t="shared" ca="1" si="157"/>
        <v>-50.650559257446609</v>
      </c>
      <c r="I367" s="304">
        <f t="shared" ca="1" si="158"/>
        <v>52.799434227055222</v>
      </c>
      <c r="J367" s="306">
        <f t="shared" ca="1" si="159"/>
        <v>614.88559094849393</v>
      </c>
      <c r="K367" s="307">
        <f t="shared" ca="1" si="160"/>
        <v>2826.8772366210314</v>
      </c>
      <c r="L367" s="304">
        <f t="shared" ca="1" si="145"/>
        <v>2892.9775666054234</v>
      </c>
      <c r="M367" s="306">
        <f t="shared" ca="1" si="161"/>
        <v>-1.2845169970023902</v>
      </c>
      <c r="N367" s="304">
        <f t="shared" ca="1" si="162"/>
        <v>-73.597402641055581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1.7842999999999964</v>
      </c>
      <c r="T367" s="304">
        <f t="shared" ca="1" si="146"/>
        <v>17.503982999999966</v>
      </c>
      <c r="U367" s="311">
        <f t="shared" ca="1" si="147"/>
        <v>0</v>
      </c>
      <c r="V367" s="306">
        <f t="shared" ca="1" si="148"/>
        <v>0.92159234778682619</v>
      </c>
      <c r="W367" s="304">
        <f t="shared" ca="1" si="149"/>
        <v>3.4487715154031511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>
        <f t="shared" ca="1" si="170"/>
        <v>29.000000000000128</v>
      </c>
      <c r="AD367" s="323">
        <f t="shared" ca="1" si="171"/>
        <v>614.88559094849393</v>
      </c>
      <c r="AE367" s="324" t="e">
        <f t="shared" ca="1" si="150"/>
        <v>#N/A</v>
      </c>
      <c r="AG367" s="306">
        <f t="shared" ca="1" si="172"/>
        <v>7.5186422314780099</v>
      </c>
      <c r="AH367" s="304">
        <f t="shared" ca="1" si="173"/>
        <v>-1.8771702571626501</v>
      </c>
    </row>
    <row r="368" spans="1:34" x14ac:dyDescent="0.2">
      <c r="A368" s="347">
        <f t="shared" ca="1" si="151"/>
        <v>0.1</v>
      </c>
      <c r="B368" s="304">
        <f t="shared" ca="1" si="152"/>
        <v>29.100000000000129</v>
      </c>
      <c r="D368" s="306">
        <f t="shared" ca="1" si="153"/>
        <v>-0.54580572402922301</v>
      </c>
      <c r="E368" s="307">
        <f t="shared" ca="1" si="154"/>
        <v>-7.9558215744618757</v>
      </c>
      <c r="F368" s="304">
        <f t="shared" ca="1" si="155"/>
        <v>7.9745219802227707</v>
      </c>
      <c r="G368" s="306">
        <f t="shared" ca="1" si="156"/>
        <v>14.855184737789596</v>
      </c>
      <c r="H368" s="307">
        <f t="shared" ca="1" si="157"/>
        <v>-51.4461414148928</v>
      </c>
      <c r="I368" s="304">
        <f t="shared" ca="1" si="158"/>
        <v>53.547940950843341</v>
      </c>
      <c r="J368" s="306">
        <f t="shared" ca="1" si="159"/>
        <v>616.373838450893</v>
      </c>
      <c r="K368" s="307">
        <f t="shared" ca="1" si="160"/>
        <v>2821.7724015874146</v>
      </c>
      <c r="L368" s="304">
        <f t="shared" ca="1" si="145"/>
        <v>2888.306804182529</v>
      </c>
      <c r="M368" s="306">
        <f t="shared" ca="1" si="161"/>
        <v>-1.2896903213434685</v>
      </c>
      <c r="N368" s="304">
        <f t="shared" ca="1" si="162"/>
        <v>-73.89381229185166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1.7842999999999964</v>
      </c>
      <c r="T368" s="304">
        <f t="shared" ca="1" si="146"/>
        <v>17.503982999999966</v>
      </c>
      <c r="U368" s="311">
        <f t="shared" ca="1" si="147"/>
        <v>0</v>
      </c>
      <c r="V368" s="306">
        <f t="shared" ca="1" si="148"/>
        <v>0.92207250329916113</v>
      </c>
      <c r="W368" s="304">
        <f t="shared" ca="1" si="149"/>
        <v>3.549095192776178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 t="e">
        <f t="shared" ca="1" si="150"/>
        <v>#N/A</v>
      </c>
      <c r="AG368" s="306">
        <f t="shared" ca="1" si="172"/>
        <v>7.4779016599083503</v>
      </c>
      <c r="AH368" s="304">
        <f t="shared" ca="1" si="173"/>
        <v>-1.9328428601710239</v>
      </c>
    </row>
    <row r="369" spans="1:34" x14ac:dyDescent="0.2">
      <c r="A369" s="347">
        <f t="shared" ca="1" si="151"/>
        <v>0.1</v>
      </c>
      <c r="B369" s="304">
        <f t="shared" ca="1" si="152"/>
        <v>29.200000000000131</v>
      </c>
      <c r="D369" s="306">
        <f t="shared" ca="1" si="153"/>
        <v>-0.55180426608483912</v>
      </c>
      <c r="E369" s="307">
        <f t="shared" ca="1" si="154"/>
        <v>-7.8990038860219629</v>
      </c>
      <c r="F369" s="304">
        <f t="shared" ca="1" si="155"/>
        <v>7.9182542482203422</v>
      </c>
      <c r="G369" s="306">
        <f t="shared" ca="1" si="156"/>
        <v>14.800004311181112</v>
      </c>
      <c r="H369" s="307">
        <f t="shared" ca="1" si="157"/>
        <v>-52.236041803494999</v>
      </c>
      <c r="I369" s="304">
        <f t="shared" ca="1" si="158"/>
        <v>54.292211144025593</v>
      </c>
      <c r="J369" s="306">
        <f t="shared" ca="1" si="159"/>
        <v>617.85659790334159</v>
      </c>
      <c r="K369" s="307">
        <f t="shared" ca="1" si="160"/>
        <v>2816.5882924264952</v>
      </c>
      <c r="L369" s="304">
        <f t="shared" ca="1" si="145"/>
        <v>2883.5596724546367</v>
      </c>
      <c r="M369" s="306">
        <f t="shared" ca="1" si="161"/>
        <v>-1.2947029851495233</v>
      </c>
      <c r="N369" s="304">
        <f t="shared" ca="1" si="162"/>
        <v>-74.18101677205658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1.7842999999999964</v>
      </c>
      <c r="T369" s="304">
        <f t="shared" ca="1" si="146"/>
        <v>17.503982999999966</v>
      </c>
      <c r="U369" s="311">
        <f t="shared" ca="1" si="147"/>
        <v>0</v>
      </c>
      <c r="V369" s="306">
        <f t="shared" ca="1" si="148"/>
        <v>0.92256033513847291</v>
      </c>
      <c r="W369" s="304">
        <f t="shared" ca="1" si="149"/>
        <v>3.6503697964723534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 t="e">
        <f t="shared" ca="1" si="150"/>
        <v>#N/A</v>
      </c>
      <c r="AG369" s="306">
        <f t="shared" ca="1" si="172"/>
        <v>7.4358809988754953</v>
      </c>
      <c r="AH369" s="304">
        <f t="shared" ca="1" si="173"/>
        <v>-1.9890686503257216</v>
      </c>
    </row>
    <row r="370" spans="1:34" x14ac:dyDescent="0.2">
      <c r="A370" s="347">
        <f t="shared" ca="1" si="151"/>
        <v>0.1</v>
      </c>
      <c r="B370" s="304">
        <f t="shared" ca="1" si="152"/>
        <v>29.300000000000132</v>
      </c>
      <c r="D370" s="306">
        <f t="shared" ca="1" si="153"/>
        <v>-0.55769056786076288</v>
      </c>
      <c r="E370" s="307">
        <f t="shared" ca="1" si="154"/>
        <v>-7.8416527479535025</v>
      </c>
      <c r="F370" s="304">
        <f t="shared" ca="1" si="155"/>
        <v>7.8614589351447721</v>
      </c>
      <c r="G370" s="306">
        <f t="shared" ca="1" si="156"/>
        <v>14.744235254395036</v>
      </c>
      <c r="H370" s="307">
        <f t="shared" ca="1" si="157"/>
        <v>-53.020207078290348</v>
      </c>
      <c r="I370" s="304">
        <f t="shared" ca="1" si="158"/>
        <v>55.032125452881928</v>
      </c>
      <c r="J370" s="306">
        <f t="shared" ca="1" si="159"/>
        <v>619.33380988162037</v>
      </c>
      <c r="K370" s="307">
        <f t="shared" ca="1" si="160"/>
        <v>2811.3254799824058</v>
      </c>
      <c r="L370" s="304">
        <f t="shared" ca="1" si="145"/>
        <v>2878.7367581042881</v>
      </c>
      <c r="M370" s="306">
        <f t="shared" ca="1" si="161"/>
        <v>-1.2995623414363147</v>
      </c>
      <c r="N370" s="304">
        <f t="shared" ca="1" si="162"/>
        <v>-74.459437378440086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1.7842999999999964</v>
      </c>
      <c r="T370" s="304">
        <f t="shared" ca="1" si="146"/>
        <v>17.503982999999966</v>
      </c>
      <c r="U370" s="311">
        <f t="shared" ca="1" si="147"/>
        <v>0</v>
      </c>
      <c r="V370" s="306">
        <f t="shared" ca="1" si="148"/>
        <v>0.92305579987006503</v>
      </c>
      <c r="W370" s="304">
        <f t="shared" ca="1" si="149"/>
        <v>3.752559209881396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 t="e">
        <f t="shared" ca="1" si="150"/>
        <v>#N/A</v>
      </c>
      <c r="AG370" s="306">
        <f t="shared" ca="1" si="172"/>
        <v>7.3926456389336579</v>
      </c>
      <c r="AH370" s="304">
        <f t="shared" ca="1" si="173"/>
        <v>-2.0458273813105201</v>
      </c>
    </row>
    <row r="371" spans="1:34" x14ac:dyDescent="0.2">
      <c r="A371" s="347">
        <f t="shared" ca="1" si="151"/>
        <v>0.1</v>
      </c>
      <c r="B371" s="304">
        <f t="shared" ca="1" si="152"/>
        <v>29.400000000000134</v>
      </c>
      <c r="D371" s="306">
        <f t="shared" ca="1" si="153"/>
        <v>-0.56346331145899442</v>
      </c>
      <c r="E371" s="307">
        <f t="shared" ca="1" si="154"/>
        <v>-7.7837883356364772</v>
      </c>
      <c r="F371" s="304">
        <f t="shared" ca="1" si="155"/>
        <v>7.8041560567015074</v>
      </c>
      <c r="G371" s="306">
        <f t="shared" ca="1" si="156"/>
        <v>14.687888923249137</v>
      </c>
      <c r="H371" s="307">
        <f t="shared" ca="1" si="157"/>
        <v>-53.798585911853998</v>
      </c>
      <c r="I371" s="304">
        <f t="shared" ca="1" si="158"/>
        <v>55.767570568717083</v>
      </c>
      <c r="J371" s="306">
        <f t="shared" ca="1" si="159"/>
        <v>620.8054160905026</v>
      </c>
      <c r="K371" s="307">
        <f t="shared" ca="1" si="160"/>
        <v>2805.9845403328986</v>
      </c>
      <c r="L371" s="304">
        <f t="shared" ca="1" si="145"/>
        <v>2873.838653305806</v>
      </c>
      <c r="M371" s="306">
        <f t="shared" ca="1" si="161"/>
        <v>-1.3042753133852423</v>
      </c>
      <c r="N371" s="304">
        <f t="shared" ca="1" si="162"/>
        <v>-74.729470780077193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1.7842999999999964</v>
      </c>
      <c r="T371" s="304">
        <f t="shared" ca="1" si="146"/>
        <v>17.503982999999966</v>
      </c>
      <c r="U371" s="311">
        <f t="shared" ca="1" si="147"/>
        <v>0</v>
      </c>
      <c r="V371" s="306">
        <f t="shared" ca="1" si="148"/>
        <v>0.92355885363521117</v>
      </c>
      <c r="W371" s="304">
        <f t="shared" ca="1" si="149"/>
        <v>3.8556273484453292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 t="e">
        <f t="shared" ca="1" si="150"/>
        <v>#N/A</v>
      </c>
      <c r="AG371" s="306">
        <f t="shared" ca="1" si="172"/>
        <v>7.3482575942644797</v>
      </c>
      <c r="AH371" s="304">
        <f t="shared" ca="1" si="173"/>
        <v>-2.1030988117925258</v>
      </c>
    </row>
    <row r="372" spans="1:34" x14ac:dyDescent="0.2">
      <c r="A372" s="347">
        <f t="shared" ca="1" si="151"/>
        <v>0.1</v>
      </c>
      <c r="B372" s="304">
        <f t="shared" ca="1" si="152"/>
        <v>29.500000000000135</v>
      </c>
      <c r="D372" s="306">
        <f t="shared" ca="1" si="153"/>
        <v>-0.56912128792083094</v>
      </c>
      <c r="E372" s="307">
        <f t="shared" ca="1" si="154"/>
        <v>-7.7254308245067556</v>
      </c>
      <c r="F372" s="304">
        <f t="shared" ca="1" si="155"/>
        <v>7.7463656294164034</v>
      </c>
      <c r="G372" s="306">
        <f t="shared" ca="1" si="156"/>
        <v>14.630976794457053</v>
      </c>
      <c r="H372" s="307">
        <f t="shared" ca="1" si="157"/>
        <v>-54.571128994304672</v>
      </c>
      <c r="I372" s="304">
        <f t="shared" ca="1" si="158"/>
        <v>56.498438931292441</v>
      </c>
      <c r="J372" s="306">
        <f t="shared" ca="1" si="159"/>
        <v>622.27135937638786</v>
      </c>
      <c r="K372" s="307">
        <f t="shared" ca="1" si="160"/>
        <v>2800.5660545875908</v>
      </c>
      <c r="L372" s="304">
        <f t="shared" ca="1" si="145"/>
        <v>2868.8659555316353</v>
      </c>
      <c r="M372" s="306">
        <f t="shared" ca="1" si="161"/>
        <v>-1.3088484242169451</v>
      </c>
      <c r="N372" s="304">
        <f t="shared" ca="1" si="162"/>
        <v>-74.991490729979333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1.7842999999999964</v>
      </c>
      <c r="T372" s="304">
        <f t="shared" ca="1" si="146"/>
        <v>17.503982999999966</v>
      </c>
      <c r="U372" s="311">
        <f t="shared" ca="1" si="147"/>
        <v>0</v>
      </c>
      <c r="V372" s="306">
        <f t="shared" ca="1" si="148"/>
        <v>0.92406945216568204</v>
      </c>
      <c r="W372" s="304">
        <f t="shared" ca="1" si="149"/>
        <v>3.9595381824364546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 t="e">
        <f t="shared" ca="1" si="150"/>
        <v>#N/A</v>
      </c>
      <c r="AG372" s="306">
        <f t="shared" ca="1" si="172"/>
        <v>7.3027757799785942</v>
      </c>
      <c r="AH372" s="304">
        <f t="shared" ca="1" si="173"/>
        <v>-2.1608627184023632</v>
      </c>
    </row>
    <row r="373" spans="1:34" x14ac:dyDescent="0.2">
      <c r="A373" s="347">
        <f t="shared" ca="1" si="151"/>
        <v>0.1</v>
      </c>
      <c r="B373" s="304">
        <f t="shared" ca="1" si="152"/>
        <v>29.600000000000136</v>
      </c>
      <c r="D373" s="306">
        <f t="shared" ca="1" si="153"/>
        <v>-0.57466339334351324</v>
      </c>
      <c r="E373" s="307">
        <f t="shared" ca="1" si="154"/>
        <v>-7.6666003755583532</v>
      </c>
      <c r="F373" s="304">
        <f t="shared" ca="1" si="155"/>
        <v>7.6881076562545978</v>
      </c>
      <c r="G373" s="306">
        <f t="shared" ca="1" si="156"/>
        <v>14.573510455122703</v>
      </c>
      <c r="H373" s="307">
        <f t="shared" ca="1" si="157"/>
        <v>-55.33778903186051</v>
      </c>
      <c r="I373" s="304">
        <f t="shared" ca="1" si="158"/>
        <v>57.224628455939069</v>
      </c>
      <c r="J373" s="306">
        <f t="shared" ca="1" si="159"/>
        <v>623.7315837388669</v>
      </c>
      <c r="K373" s="307">
        <f t="shared" ca="1" si="160"/>
        <v>2795.0706086862824</v>
      </c>
      <c r="L373" s="304">
        <f t="shared" ca="1" si="145"/>
        <v>2863.8192673587664</v>
      </c>
      <c r="M373" s="306">
        <f t="shared" ca="1" si="161"/>
        <v>-1.313287824705629</v>
      </c>
      <c r="N373" s="304">
        <f t="shared" ca="1" si="162"/>
        <v>-75.245849641549228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1.7842999999999964</v>
      </c>
      <c r="T373" s="304">
        <f t="shared" ca="1" si="146"/>
        <v>17.503982999999966</v>
      </c>
      <c r="U373" s="311">
        <f t="shared" ca="1" si="147"/>
        <v>0</v>
      </c>
      <c r="V373" s="306">
        <f t="shared" ca="1" si="148"/>
        <v>0.92458755079828892</v>
      </c>
      <c r="W373" s="304">
        <f t="shared" ca="1" si="149"/>
        <v>4.0642557593313766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 t="e">
        <f t="shared" ca="1" si="150"/>
        <v>#N/A</v>
      </c>
      <c r="AG373" s="306">
        <f t="shared" ca="1" si="172"/>
        <v>7.2562562616695701</v>
      </c>
      <c r="AH373" s="304">
        <f t="shared" ca="1" si="173"/>
        <v>-2.2190989084999511</v>
      </c>
    </row>
    <row r="374" spans="1:34" x14ac:dyDescent="0.2">
      <c r="A374" s="347">
        <f t="shared" ca="1" si="151"/>
        <v>0.1</v>
      </c>
      <c r="B374" s="304">
        <f t="shared" ca="1" si="152"/>
        <v>29.700000000000138</v>
      </c>
      <c r="D374" s="306">
        <f t="shared" ca="1" si="153"/>
        <v>-0.5800886252334525</v>
      </c>
      <c r="E374" s="307">
        <f t="shared" ca="1" si="154"/>
        <v>-7.6073171212384789</v>
      </c>
      <c r="F374" s="304">
        <f t="shared" ca="1" si="155"/>
        <v>7.6294021126306699</v>
      </c>
      <c r="G374" s="306">
        <f t="shared" ca="1" si="156"/>
        <v>14.515501592599357</v>
      </c>
      <c r="H374" s="307">
        <f t="shared" ca="1" si="157"/>
        <v>-56.098520743984359</v>
      </c>
      <c r="I374" s="304">
        <f t="shared" ca="1" si="158"/>
        <v>57.946042282005749</v>
      </c>
      <c r="J374" s="306">
        <f t="shared" ca="1" si="159"/>
        <v>625.18603434125305</v>
      </c>
      <c r="K374" s="307">
        <f t="shared" ca="1" si="160"/>
        <v>2789.4987931974902</v>
      </c>
      <c r="L374" s="304">
        <f t="shared" ca="1" si="145"/>
        <v>2858.6991962753964</v>
      </c>
      <c r="M374" s="306">
        <f t="shared" ca="1" si="161"/>
        <v>-1.3175993185381361</v>
      </c>
      <c r="N374" s="304">
        <f t="shared" ca="1" si="162"/>
        <v>-75.49288004154856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1.7842999999999964</v>
      </c>
      <c r="T374" s="304">
        <f t="shared" ca="1" si="146"/>
        <v>17.503982999999966</v>
      </c>
      <c r="U374" s="311">
        <f t="shared" ca="1" si="147"/>
        <v>0</v>
      </c>
      <c r="V374" s="306">
        <f t="shared" ca="1" si="148"/>
        <v>0.92511310448943118</v>
      </c>
      <c r="W374" s="304">
        <f t="shared" ca="1" si="149"/>
        <v>4.1697442257608026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 t="e">
        <f t="shared" ca="1" si="150"/>
        <v>#N/A</v>
      </c>
      <c r="AG374" s="306">
        <f t="shared" ca="1" si="172"/>
        <v>7.2087524801745477</v>
      </c>
      <c r="AH374" s="304">
        <f t="shared" ca="1" si="173"/>
        <v>-2.2777872327138851</v>
      </c>
    </row>
    <row r="375" spans="1:34" x14ac:dyDescent="0.2">
      <c r="A375" s="347">
        <f t="shared" ca="1" si="151"/>
        <v>0.1</v>
      </c>
      <c r="B375" s="304">
        <f t="shared" ca="1" si="152"/>
        <v>29.800000000000139</v>
      </c>
      <c r="D375" s="306">
        <f t="shared" ca="1" si="153"/>
        <v>-0.58539607907049585</v>
      </c>
      <c r="E375" s="307">
        <f t="shared" ca="1" si="154"/>
        <v>-7.5476011517282657</v>
      </c>
      <c r="F375" s="304">
        <f t="shared" ca="1" si="155"/>
        <v>7.5702689328029127</v>
      </c>
      <c r="G375" s="306">
        <f t="shared" ca="1" si="156"/>
        <v>14.456961984692308</v>
      </c>
      <c r="H375" s="307">
        <f t="shared" ca="1" si="157"/>
        <v>-56.853280859157188</v>
      </c>
      <c r="I375" s="304">
        <f t="shared" ca="1" si="158"/>
        <v>58.662588540543005</v>
      </c>
      <c r="J375" s="306">
        <f t="shared" ca="1" si="159"/>
        <v>626.63465752011768</v>
      </c>
      <c r="K375" s="307">
        <f t="shared" ca="1" si="160"/>
        <v>2783.8512031173332</v>
      </c>
      <c r="L375" s="304">
        <f t="shared" ca="1" si="145"/>
        <v>2853.5063544879617</v>
      </c>
      <c r="M375" s="306">
        <f t="shared" ca="1" si="161"/>
        <v>-1.3217883857031687</v>
      </c>
      <c r="N375" s="304">
        <f t="shared" ca="1" si="162"/>
        <v>-75.732895910201762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1.7842999999999964</v>
      </c>
      <c r="T375" s="304">
        <f t="shared" ca="1" si="146"/>
        <v>17.503982999999966</v>
      </c>
      <c r="U375" s="311">
        <f t="shared" ca="1" si="147"/>
        <v>0</v>
      </c>
      <c r="V375" s="306">
        <f t="shared" ca="1" si="148"/>
        <v>0.9256460678296442</v>
      </c>
      <c r="W375" s="304">
        <f t="shared" ca="1" si="149"/>
        <v>4.2759678490160935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 t="e">
        <f t="shared" ca="1" si="150"/>
        <v>#N/A</v>
      </c>
      <c r="AG375" s="306">
        <f t="shared" ca="1" si="172"/>
        <v>7.1603154541642215</v>
      </c>
      <c r="AH375" s="304">
        <f t="shared" ca="1" si="173"/>
        <v>-2.3369075972430706</v>
      </c>
    </row>
    <row r="376" spans="1:34" x14ac:dyDescent="0.2">
      <c r="A376" s="347">
        <f t="shared" ca="1" si="151"/>
        <v>0.1</v>
      </c>
      <c r="B376" s="304">
        <f t="shared" ca="1" si="152"/>
        <v>29.900000000000141</v>
      </c>
      <c r="D376" s="306">
        <f t="shared" ca="1" si="153"/>
        <v>-0.59058494506056136</v>
      </c>
      <c r="E376" s="307">
        <f t="shared" ca="1" si="154"/>
        <v>-7.4874725016036869</v>
      </c>
      <c r="F376" s="304">
        <f t="shared" ca="1" si="155"/>
        <v>7.5107279966461018</v>
      </c>
      <c r="G376" s="306">
        <f t="shared" ca="1" si="156"/>
        <v>14.397903490186252</v>
      </c>
      <c r="H376" s="307">
        <f t="shared" ca="1" si="157"/>
        <v>-57.602028109317558</v>
      </c>
      <c r="I376" s="304">
        <f t="shared" ca="1" si="158"/>
        <v>59.374180139344467</v>
      </c>
      <c r="J376" s="306">
        <f t="shared" ca="1" si="159"/>
        <v>628.07740079386156</v>
      </c>
      <c r="K376" s="307">
        <f t="shared" ca="1" si="160"/>
        <v>2778.1284376689096</v>
      </c>
      <c r="L376" s="304">
        <f t="shared" ca="1" si="145"/>
        <v>2848.2413587286928</v>
      </c>
      <c r="M376" s="306">
        <f t="shared" ca="1" si="161"/>
        <v>-1.3258602040791692</v>
      </c>
      <c r="N376" s="304">
        <f t="shared" ca="1" si="162"/>
        <v>-75.966193918090411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1.7842999999999964</v>
      </c>
      <c r="T376" s="304">
        <f t="shared" ca="1" si="146"/>
        <v>17.503982999999966</v>
      </c>
      <c r="U376" s="311">
        <f t="shared" ca="1" si="147"/>
        <v>0</v>
      </c>
      <c r="V376" s="306">
        <f t="shared" ca="1" si="148"/>
        <v>0.9261863950581275</v>
      </c>
      <c r="W376" s="304">
        <f t="shared" ca="1" si="149"/>
        <v>4.3828910380946935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 t="e">
        <f t="shared" ca="1" si="150"/>
        <v>#N/A</v>
      </c>
      <c r="AG376" s="306">
        <f t="shared" ca="1" si="172"/>
        <v>7.1109939628919969</v>
      </c>
      <c r="AH376" s="304">
        <f t="shared" ca="1" si="173"/>
        <v>-2.3964399759099377</v>
      </c>
    </row>
    <row r="377" spans="1:34" x14ac:dyDescent="0.2">
      <c r="A377" s="347">
        <f t="shared" ca="1" si="151"/>
        <v>0.1</v>
      </c>
      <c r="B377" s="304">
        <f t="shared" ca="1" si="152"/>
        <v>30.000000000000142</v>
      </c>
      <c r="D377" s="306">
        <f t="shared" ca="1" si="153"/>
        <v>-0.59565450505652873</v>
      </c>
      <c r="E377" s="307">
        <f t="shared" ca="1" si="154"/>
        <v>-7.4269511368724999</v>
      </c>
      <c r="F377" s="304">
        <f t="shared" ca="1" si="155"/>
        <v>7.450799116798537</v>
      </c>
      <c r="G377" s="306">
        <f t="shared" ca="1" si="156"/>
        <v>14.338338039680599</v>
      </c>
      <c r="H377" s="307">
        <f t="shared" ca="1" si="157"/>
        <v>-58.344723223004806</v>
      </c>
      <c r="I377" s="304">
        <f t="shared" ca="1" si="158"/>
        <v>60.080734563661821</v>
      </c>
      <c r="J377" s="306">
        <f t="shared" ca="1" si="159"/>
        <v>629.51421287035487</v>
      </c>
      <c r="K377" s="307">
        <f t="shared" ca="1" si="160"/>
        <v>2772.3311001022935</v>
      </c>
      <c r="L377" s="304">
        <f t="shared" ca="1" si="145"/>
        <v>2842.904830063816</v>
      </c>
      <c r="M377" s="306">
        <f t="shared" ca="1" si="161"/>
        <v>-1.3298196693740223</v>
      </c>
      <c r="N377" s="304">
        <f t="shared" ca="1" si="162"/>
        <v>-76.193054568614016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1.7842999999999964</v>
      </c>
      <c r="T377" s="304">
        <f t="shared" ca="1" si="146"/>
        <v>17.503982999999966</v>
      </c>
      <c r="U377" s="311">
        <f t="shared" ca="1" si="147"/>
        <v>0</v>
      </c>
      <c r="V377" s="306">
        <f t="shared" ca="1" si="148"/>
        <v>0.92673404007725402</v>
      </c>
      <c r="W377" s="304">
        <f t="shared" ca="1" si="149"/>
        <v>4.4904783642677337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>
        <f t="shared" ca="1" si="170"/>
        <v>30.000000000000142</v>
      </c>
      <c r="AD377" s="323">
        <f t="shared" ca="1" si="171"/>
        <v>629.51421287035487</v>
      </c>
      <c r="AE377" s="324" t="e">
        <f t="shared" ca="1" si="150"/>
        <v>#N/A</v>
      </c>
      <c r="AG377" s="306">
        <f t="shared" ca="1" si="172"/>
        <v>7.0608347111736265</v>
      </c>
      <c r="AH377" s="304">
        <f t="shared" ca="1" si="173"/>
        <v>-2.4563644219552216</v>
      </c>
    </row>
    <row r="378" spans="1:34" x14ac:dyDescent="0.2">
      <c r="A378" s="347">
        <f t="shared" ca="1" si="151"/>
        <v>0.1</v>
      </c>
      <c r="B378" s="304">
        <f t="shared" ca="1" si="152"/>
        <v>30.100000000000144</v>
      </c>
      <c r="D378" s="306">
        <f t="shared" ca="1" si="153"/>
        <v>-0.60060412962951126</v>
      </c>
      <c r="E378" s="307">
        <f t="shared" ca="1" si="154"/>
        <v>-7.3660569423840903</v>
      </c>
      <c r="F378" s="304">
        <f t="shared" ca="1" si="155"/>
        <v>7.3905020261801484</v>
      </c>
      <c r="G378" s="306">
        <f t="shared" ca="1" si="156"/>
        <v>14.278277626717648</v>
      </c>
      <c r="H378" s="307">
        <f t="shared" ca="1" si="157"/>
        <v>-59.081328917243212</v>
      </c>
      <c r="I378" s="304">
        <f t="shared" ca="1" si="158"/>
        <v>60.782173691084012</v>
      </c>
      <c r="J378" s="306">
        <f t="shared" ca="1" si="159"/>
        <v>630.94504365367482</v>
      </c>
      <c r="K378" s="307">
        <f t="shared" ca="1" si="160"/>
        <v>2766.4597974952812</v>
      </c>
      <c r="L378" s="304">
        <f t="shared" ca="1" si="145"/>
        <v>2837.4973937025511</v>
      </c>
      <c r="M378" s="306">
        <f t="shared" ca="1" si="161"/>
        <v>-1.3336714135558214</v>
      </c>
      <c r="N378" s="304">
        <f t="shared" ca="1" si="162"/>
        <v>-76.413743253995179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1.7842999999999964</v>
      </c>
      <c r="T378" s="304">
        <f t="shared" ca="1" si="146"/>
        <v>17.503982999999966</v>
      </c>
      <c r="U378" s="311">
        <f t="shared" ca="1" si="147"/>
        <v>0</v>
      </c>
      <c r="V378" s="306">
        <f t="shared" ca="1" si="148"/>
        <v>0.92728895646704279</v>
      </c>
      <c r="W378" s="304">
        <f t="shared" ca="1" si="149"/>
        <v>4.5986945811542821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 t="e">
        <f t="shared" ca="1" si="150"/>
        <v>#N/A</v>
      </c>
      <c r="AG378" s="306">
        <f t="shared" ca="1" si="172"/>
        <v>7.0098824784403213</v>
      </c>
      <c r="AH378" s="304">
        <f t="shared" ca="1" si="173"/>
        <v>-2.5166610795649516</v>
      </c>
    </row>
    <row r="379" spans="1:34" x14ac:dyDescent="0.2">
      <c r="A379" s="347">
        <f t="shared" ca="1" si="151"/>
        <v>0.1</v>
      </c>
      <c r="B379" s="304">
        <f t="shared" ca="1" si="152"/>
        <v>30.200000000000145</v>
      </c>
      <c r="D379" s="306">
        <f t="shared" ca="1" si="153"/>
        <v>-0.60543327527466539</v>
      </c>
      <c r="E379" s="307">
        <f t="shared" ca="1" si="154"/>
        <v>-7.3048097096099625</v>
      </c>
      <c r="F379" s="304">
        <f t="shared" ca="1" si="155"/>
        <v>7.3298563658793334</v>
      </c>
      <c r="G379" s="306">
        <f t="shared" ca="1" si="156"/>
        <v>14.21773429919018</v>
      </c>
      <c r="H379" s="307">
        <f t="shared" ca="1" si="157"/>
        <v>-59.811809888204209</v>
      </c>
      <c r="I379" s="304">
        <f t="shared" ca="1" si="158"/>
        <v>61.478423619226376</v>
      </c>
      <c r="J379" s="306">
        <f t="shared" ca="1" si="159"/>
        <v>632.36984424997024</v>
      </c>
      <c r="K379" s="307">
        <f t="shared" ca="1" si="160"/>
        <v>2760.5151405550087</v>
      </c>
      <c r="L379" s="304">
        <f t="shared" ca="1" si="145"/>
        <v>2832.0196788070116</v>
      </c>
      <c r="M379" s="306">
        <f t="shared" ca="1" si="161"/>
        <v>-1.3374198219013216</v>
      </c>
      <c r="N379" s="304">
        <f t="shared" ca="1" si="162"/>
        <v>-76.628511232083952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1.7842999999999964</v>
      </c>
      <c r="T379" s="304">
        <f t="shared" ca="1" si="146"/>
        <v>17.503982999999966</v>
      </c>
      <c r="U379" s="311">
        <f t="shared" ca="1" si="147"/>
        <v>0</v>
      </c>
      <c r="V379" s="306">
        <f t="shared" ca="1" si="148"/>
        <v>0.92785109749959493</v>
      </c>
      <c r="W379" s="304">
        <f t="shared" ca="1" si="149"/>
        <v>4.7075046442878818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 t="e">
        <f t="shared" ca="1" si="150"/>
        <v>#N/A</v>
      </c>
      <c r="AG379" s="306">
        <f t="shared" ca="1" si="172"/>
        <v>6.9581802535066721</v>
      </c>
      <c r="AH379" s="304">
        <f t="shared" ca="1" si="173"/>
        <v>-2.5773101951209387</v>
      </c>
    </row>
    <row r="380" spans="1:34" x14ac:dyDescent="0.2">
      <c r="A380" s="347">
        <f t="shared" ca="1" si="151"/>
        <v>0.1</v>
      </c>
      <c r="B380" s="304">
        <f t="shared" ca="1" si="152"/>
        <v>30.300000000000146</v>
      </c>
      <c r="D380" s="306">
        <f t="shared" ca="1" si="153"/>
        <v>-0.61014148173748406</v>
      </c>
      <c r="E380" s="307">
        <f t="shared" ca="1" si="154"/>
        <v>-7.2432291247932348</v>
      </c>
      <c r="F380" s="304">
        <f t="shared" ca="1" si="155"/>
        <v>7.2688816734068373</v>
      </c>
      <c r="G380" s="306">
        <f t="shared" ca="1" si="156"/>
        <v>14.156720151016431</v>
      </c>
      <c r="H380" s="307">
        <f t="shared" ca="1" si="157"/>
        <v>-60.536132800683532</v>
      </c>
      <c r="I380" s="304">
        <f t="shared" ca="1" si="158"/>
        <v>62.169414505013535</v>
      </c>
      <c r="J380" s="306">
        <f t="shared" ca="1" si="159"/>
        <v>633.78856697248057</v>
      </c>
      <c r="K380" s="307">
        <f t="shared" ca="1" si="160"/>
        <v>2754.4977434205643</v>
      </c>
      <c r="L380" s="304">
        <f t="shared" ca="1" si="145"/>
        <v>2826.4723183031551</v>
      </c>
      <c r="M380" s="306">
        <f t="shared" ca="1" si="161"/>
        <v>-1.3410690487772761</v>
      </c>
      <c r="N380" s="304">
        <f t="shared" ca="1" si="162"/>
        <v>-76.837596530561854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1.7842999999999964</v>
      </c>
      <c r="T380" s="304">
        <f t="shared" ca="1" si="146"/>
        <v>17.503982999999966</v>
      </c>
      <c r="U380" s="311">
        <f t="shared" ca="1" si="147"/>
        <v>0</v>
      </c>
      <c r="V380" s="306">
        <f t="shared" ca="1" si="148"/>
        <v>0.92842041615347415</v>
      </c>
      <c r="W380" s="304">
        <f t="shared" ca="1" si="149"/>
        <v>4.8168737301621265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 t="e">
        <f t="shared" ca="1" si="150"/>
        <v>#N/A</v>
      </c>
      <c r="AG380" s="306">
        <f t="shared" ca="1" si="172"/>
        <v>6.9057693565162612</v>
      </c>
      <c r="AH380" s="304">
        <f t="shared" ca="1" si="173"/>
        <v>-2.6382921281667273</v>
      </c>
    </row>
    <row r="381" spans="1:34" x14ac:dyDescent="0.2">
      <c r="A381" s="347">
        <f t="shared" ca="1" si="151"/>
        <v>0.1</v>
      </c>
      <c r="B381" s="304">
        <f t="shared" ca="1" si="152"/>
        <v>30.400000000000148</v>
      </c>
      <c r="D381" s="306">
        <f t="shared" ca="1" si="153"/>
        <v>-0.61472836944808984</v>
      </c>
      <c r="E381" s="307">
        <f t="shared" ca="1" si="154"/>
        <v>-7.1813347574660273</v>
      </c>
      <c r="F381" s="304">
        <f t="shared" ca="1" si="155"/>
        <v>7.2075973713154893</v>
      </c>
      <c r="G381" s="306">
        <f t="shared" ca="1" si="156"/>
        <v>14.095247314071623</v>
      </c>
      <c r="H381" s="307">
        <f t="shared" ca="1" si="157"/>
        <v>-61.254266276430137</v>
      </c>
      <c r="I381" s="304">
        <f t="shared" ca="1" si="158"/>
        <v>62.855080414463316</v>
      </c>
      <c r="J381" s="306">
        <f t="shared" ca="1" si="159"/>
        <v>635.20116534573492</v>
      </c>
      <c r="K381" s="307">
        <f t="shared" ca="1" si="160"/>
        <v>2748.4082234667085</v>
      </c>
      <c r="L381" s="304">
        <f t="shared" ca="1" si="145"/>
        <v>2820.8559486928802</v>
      </c>
      <c r="M381" s="306">
        <f t="shared" ca="1" si="161"/>
        <v>-1.3446230322594845</v>
      </c>
      <c r="N381" s="304">
        <f t="shared" ca="1" si="162"/>
        <v>-77.041224784551602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1.7842999999999964</v>
      </c>
      <c r="T381" s="304">
        <f t="shared" ca="1" si="146"/>
        <v>17.503982999999966</v>
      </c>
      <c r="U381" s="311">
        <f t="shared" ca="1" si="147"/>
        <v>0</v>
      </c>
      <c r="V381" s="306">
        <f t="shared" ca="1" si="148"/>
        <v>0.9289968651280307</v>
      </c>
      <c r="W381" s="304">
        <f t="shared" ca="1" si="149"/>
        <v>4.9267672547431571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 t="e">
        <f t="shared" ca="1" si="150"/>
        <v>#N/A</v>
      </c>
      <c r="AG381" s="306">
        <f t="shared" ca="1" si="172"/>
        <v>6.8526895493700417</v>
      </c>
      <c r="AH381" s="304">
        <f t="shared" ca="1" si="173"/>
        <v>-2.6995873620815649</v>
      </c>
    </row>
    <row r="382" spans="1:34" x14ac:dyDescent="0.2">
      <c r="A382" s="347">
        <f t="shared" ca="1" si="151"/>
        <v>0.1</v>
      </c>
      <c r="B382" s="304">
        <f t="shared" ca="1" si="152"/>
        <v>30.500000000000149</v>
      </c>
      <c r="D382" s="306">
        <f t="shared" ca="1" si="153"/>
        <v>-0.61919363705249009</v>
      </c>
      <c r="E382" s="307">
        <f t="shared" ca="1" si="154"/>
        <v>-7.1191460493339651</v>
      </c>
      <c r="F382" s="304">
        <f t="shared" ca="1" si="155"/>
        <v>7.1460227561849878</v>
      </c>
      <c r="G382" s="306">
        <f t="shared" ca="1" si="156"/>
        <v>14.033327950366374</v>
      </c>
      <c r="H382" s="307">
        <f t="shared" ca="1" si="157"/>
        <v>-61.966180881363535</v>
      </c>
      <c r="I382" s="304">
        <f t="shared" ca="1" si="158"/>
        <v>63.535359181989342</v>
      </c>
      <c r="J382" s="306">
        <f t="shared" ca="1" si="159"/>
        <v>636.60759410895685</v>
      </c>
      <c r="K382" s="307">
        <f t="shared" ca="1" si="160"/>
        <v>2742.2472011088189</v>
      </c>
      <c r="L382" s="304">
        <f t="shared" ca="1" si="145"/>
        <v>2815.1712098674116</v>
      </c>
      <c r="M382" s="306">
        <f t="shared" ca="1" si="161"/>
        <v>-1.3480855076849985</v>
      </c>
      <c r="N382" s="304">
        <f t="shared" ca="1" si="162"/>
        <v>-77.239610013101313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1.7842999999999964</v>
      </c>
      <c r="T382" s="304">
        <f t="shared" ca="1" si="146"/>
        <v>17.503982999999966</v>
      </c>
      <c r="U382" s="311">
        <f t="shared" ca="1" si="147"/>
        <v>0</v>
      </c>
      <c r="V382" s="306">
        <f t="shared" ca="1" si="148"/>
        <v>0.92958039685765814</v>
      </c>
      <c r="W382" s="304">
        <f t="shared" ca="1" si="149"/>
        <v>5.0371508914381611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 t="e">
        <f t="shared" ca="1" si="150"/>
        <v>#N/A</v>
      </c>
      <c r="AG382" s="306">
        <f t="shared" ca="1" si="172"/>
        <v>6.7989791358028118</v>
      </c>
      <c r="AH382" s="304">
        <f t="shared" ca="1" si="173"/>
        <v>-2.7611765144556224</v>
      </c>
    </row>
    <row r="383" spans="1:34" x14ac:dyDescent="0.2">
      <c r="A383" s="347">
        <f t="shared" ca="1" si="151"/>
        <v>0.1</v>
      </c>
      <c r="B383" s="304">
        <f t="shared" ca="1" si="152"/>
        <v>30.600000000000151</v>
      </c>
      <c r="D383" s="306">
        <f t="shared" ca="1" si="153"/>
        <v>-0.62353705903101764</v>
      </c>
      <c r="E383" s="307">
        <f t="shared" ca="1" si="154"/>
        <v>-7.0566823035272437</v>
      </c>
      <c r="F383" s="304">
        <f t="shared" ca="1" si="155"/>
        <v>7.0841769879711229</v>
      </c>
      <c r="G383" s="306">
        <f t="shared" ca="1" si="156"/>
        <v>13.970974244463273</v>
      </c>
      <c r="H383" s="307">
        <f t="shared" ca="1" si="157"/>
        <v>-62.671849111716256</v>
      </c>
      <c r="I383" s="304">
        <f t="shared" ca="1" si="158"/>
        <v>64.210192278338383</v>
      </c>
      <c r="J383" s="306">
        <f t="shared" ca="1" si="159"/>
        <v>638.0078092186983</v>
      </c>
      <c r="K383" s="307">
        <f t="shared" ca="1" si="160"/>
        <v>2736.0152996091647</v>
      </c>
      <c r="L383" s="304">
        <f t="shared" ca="1" si="145"/>
        <v>2809.4187449220649</v>
      </c>
      <c r="M383" s="306">
        <f t="shared" ca="1" si="161"/>
        <v>-1.3514600202244313</v>
      </c>
      <c r="N383" s="304">
        <f t="shared" ca="1" si="162"/>
        <v>-77.432955339524796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1.7842999999999964</v>
      </c>
      <c r="T383" s="304">
        <f t="shared" ca="1" si="146"/>
        <v>17.503982999999966</v>
      </c>
      <c r="U383" s="311">
        <f t="shared" ca="1" si="147"/>
        <v>0</v>
      </c>
      <c r="V383" s="306">
        <f t="shared" ca="1" si="148"/>
        <v>0.9301709635259755</v>
      </c>
      <c r="W383" s="304">
        <f t="shared" ca="1" si="149"/>
        <v>5.1479905885099422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 t="e">
        <f t="shared" ca="1" si="150"/>
        <v>#N/A</v>
      </c>
      <c r="AG383" s="306">
        <f t="shared" ca="1" si="172"/>
        <v>6.7446750521491188</v>
      </c>
      <c r="AH383" s="304">
        <f t="shared" ca="1" si="173"/>
        <v>-2.8230403471603269</v>
      </c>
    </row>
    <row r="384" spans="1:34" x14ac:dyDescent="0.2">
      <c r="A384" s="347">
        <f t="shared" ca="1" si="151"/>
        <v>0.1</v>
      </c>
      <c r="B384" s="304">
        <f t="shared" ca="1" si="152"/>
        <v>30.700000000000152</v>
      </c>
      <c r="D384" s="306">
        <f t="shared" ca="1" si="153"/>
        <v>-0.62775848339529239</v>
      </c>
      <c r="E384" s="307">
        <f t="shared" ca="1" si="154"/>
        <v>-6.9939626742178547</v>
      </c>
      <c r="F384" s="304">
        <f t="shared" ca="1" si="155"/>
        <v>7.0220790797190062</v>
      </c>
      <c r="G384" s="306">
        <f t="shared" ca="1" si="156"/>
        <v>13.908198396123744</v>
      </c>
      <c r="H384" s="307">
        <f t="shared" ca="1" si="157"/>
        <v>-63.371245379138038</v>
      </c>
      <c r="I384" s="304">
        <f t="shared" ca="1" si="158"/>
        <v>64.879524686366679</v>
      </c>
      <c r="J384" s="306">
        <f t="shared" ca="1" si="159"/>
        <v>639.40176785072765</v>
      </c>
      <c r="K384" s="307">
        <f t="shared" ca="1" si="160"/>
        <v>2729.7131448846221</v>
      </c>
      <c r="L384" s="304">
        <f t="shared" ca="1" si="145"/>
        <v>2803.5991999725156</v>
      </c>
      <c r="M384" s="306">
        <f t="shared" ca="1" si="161"/>
        <v>-1.354749936553616</v>
      </c>
      <c r="N384" s="304">
        <f t="shared" ca="1" si="162"/>
        <v>-77.621453660138243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1.7842999999999964</v>
      </c>
      <c r="T384" s="304">
        <f t="shared" ca="1" si="146"/>
        <v>17.503982999999966</v>
      </c>
      <c r="U384" s="311">
        <f t="shared" ca="1" si="147"/>
        <v>0</v>
      </c>
      <c r="V384" s="306">
        <f t="shared" ca="1" si="148"/>
        <v>0.93076851707992492</v>
      </c>
      <c r="W384" s="304">
        <f t="shared" ca="1" si="149"/>
        <v>5.2592525859288042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 t="e">
        <f t="shared" ca="1" si="150"/>
        <v>#N/A</v>
      </c>
      <c r="AG384" s="306">
        <f t="shared" ca="1" si="172"/>
        <v>6.6898129497302588</v>
      </c>
      <c r="AH384" s="304">
        <f t="shared" ca="1" si="173"/>
        <v>-2.8851597761082513</v>
      </c>
    </row>
    <row r="385" spans="1:34" x14ac:dyDescent="0.2">
      <c r="A385" s="347">
        <f t="shared" ca="1" si="151"/>
        <v>0.1</v>
      </c>
      <c r="B385" s="304">
        <f t="shared" ca="1" si="152"/>
        <v>30.800000000000153</v>
      </c>
      <c r="D385" s="306">
        <f t="shared" ca="1" si="153"/>
        <v>-0.63185782945605673</v>
      </c>
      <c r="E385" s="307">
        <f t="shared" ca="1" si="154"/>
        <v>-6.9310061566026384</v>
      </c>
      <c r="F385" s="304">
        <f t="shared" ca="1" si="155"/>
        <v>6.9597478876399395</v>
      </c>
      <c r="G385" s="306">
        <f t="shared" ca="1" si="156"/>
        <v>13.845012613178138</v>
      </c>
      <c r="H385" s="307">
        <f t="shared" ca="1" si="157"/>
        <v>-64.064345994798302</v>
      </c>
      <c r="I385" s="304">
        <f t="shared" ca="1" si="158"/>
        <v>65.543304783938765</v>
      </c>
      <c r="J385" s="306">
        <f t="shared" ca="1" si="159"/>
        <v>640.78942840119271</v>
      </c>
      <c r="K385" s="307">
        <f t="shared" ca="1" si="160"/>
        <v>2723.3413653159255</v>
      </c>
      <c r="L385" s="304">
        <f t="shared" ca="1" si="145"/>
        <v>2797.7132239726675</v>
      </c>
      <c r="M385" s="306">
        <f t="shared" ca="1" si="161"/>
        <v>-1.357958455696864</v>
      </c>
      <c r="N385" s="304">
        <f t="shared" ca="1" si="162"/>
        <v>-77.805288265533292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1.7842999999999964</v>
      </c>
      <c r="T385" s="304">
        <f t="shared" ca="1" si="146"/>
        <v>17.503982999999966</v>
      </c>
      <c r="U385" s="311">
        <f t="shared" ca="1" si="147"/>
        <v>0</v>
      </c>
      <c r="V385" s="306">
        <f t="shared" ca="1" si="148"/>
        <v>0.93137300924378152</v>
      </c>
      <c r="W385" s="304">
        <f t="shared" ca="1" si="149"/>
        <v>5.3709034316540523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 t="e">
        <f t="shared" ca="1" si="150"/>
        <v>#N/A</v>
      </c>
      <c r="AG385" s="306">
        <f t="shared" ca="1" si="172"/>
        <v>6.6344272696962658</v>
      </c>
      <c r="AH385" s="304">
        <f t="shared" ca="1" si="173"/>
        <v>-2.9475158806976487</v>
      </c>
    </row>
    <row r="386" spans="1:34" x14ac:dyDescent="0.2">
      <c r="A386" s="347">
        <f t="shared" ca="1" si="151"/>
        <v>0.1</v>
      </c>
      <c r="B386" s="304">
        <f t="shared" ca="1" si="152"/>
        <v>30.900000000000155</v>
      </c>
      <c r="D386" s="306">
        <f t="shared" ca="1" si="153"/>
        <v>-0.63583508565515323</v>
      </c>
      <c r="E386" s="307">
        <f t="shared" ca="1" si="154"/>
        <v>-6.867831577251752</v>
      </c>
      <c r="F386" s="304">
        <f t="shared" ca="1" si="155"/>
        <v>6.897202101551497</v>
      </c>
      <c r="G386" s="306">
        <f t="shared" ca="1" si="156"/>
        <v>13.781429104612624</v>
      </c>
      <c r="H386" s="307">
        <f t="shared" ca="1" si="157"/>
        <v>-64.751129152523475</v>
      </c>
      <c r="I386" s="304">
        <f t="shared" ca="1" si="158"/>
        <v>66.201484233302807</v>
      </c>
      <c r="J386" s="306">
        <f t="shared" ca="1" si="159"/>
        <v>642.17075048708227</v>
      </c>
      <c r="K386" s="307">
        <f t="shared" ca="1" si="160"/>
        <v>2716.9005915585594</v>
      </c>
      <c r="L386" s="304">
        <f t="shared" ca="1" si="145"/>
        <v>2791.7614685342282</v>
      </c>
      <c r="M386" s="306">
        <f t="shared" ca="1" si="161"/>
        <v>-1.3610886191077691</v>
      </c>
      <c r="N386" s="304">
        <f t="shared" ca="1" si="162"/>
        <v>-77.984633418164421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1.7842999999999964</v>
      </c>
      <c r="T386" s="304">
        <f t="shared" ca="1" si="146"/>
        <v>17.503982999999966</v>
      </c>
      <c r="U386" s="311">
        <f t="shared" ca="1" si="147"/>
        <v>0</v>
      </c>
      <c r="V386" s="306">
        <f t="shared" ca="1" si="148"/>
        <v>0.93198439153306245</v>
      </c>
      <c r="W386" s="304">
        <f t="shared" ca="1" si="149"/>
        <v>5.4829099973384166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 t="e">
        <f t="shared" ca="1" si="150"/>
        <v>#N/A</v>
      </c>
      <c r="AG386" s="306">
        <f t="shared" ca="1" si="172"/>
        <v>6.5785513110703029</v>
      </c>
      <c r="AH386" s="304">
        <f t="shared" ca="1" si="173"/>
        <v>-3.0100899129373215</v>
      </c>
    </row>
    <row r="387" spans="1:34" x14ac:dyDescent="0.2">
      <c r="A387" s="347">
        <f t="shared" ca="1" si="151"/>
        <v>0.1</v>
      </c>
      <c r="B387" s="304">
        <f t="shared" ca="1" si="152"/>
        <v>31.000000000000156</v>
      </c>
      <c r="D387" s="306">
        <f t="shared" ca="1" si="153"/>
        <v>-0.63969030745567224</v>
      </c>
      <c r="E387" s="307">
        <f t="shared" ca="1" si="154"/>
        <v>-6.8044575848221553</v>
      </c>
      <c r="F387" s="304">
        <f t="shared" ca="1" si="155"/>
        <v>6.8344602356803925</v>
      </c>
      <c r="G387" s="306">
        <f t="shared" ca="1" si="156"/>
        <v>13.717460073867056</v>
      </c>
      <c r="H387" s="307">
        <f t="shared" ca="1" si="157"/>
        <v>-65.431574911005697</v>
      </c>
      <c r="I387" s="304">
        <f t="shared" ca="1" si="158"/>
        <v>66.854017876360189</v>
      </c>
      <c r="J387" s="306">
        <f t="shared" ca="1" si="159"/>
        <v>643.54569494600628</v>
      </c>
      <c r="K387" s="307">
        <f t="shared" ca="1" si="160"/>
        <v>2710.3914563553831</v>
      </c>
      <c r="L387" s="304">
        <f t="shared" ca="1" si="145"/>
        <v>2785.7445877480932</v>
      </c>
      <c r="M387" s="306">
        <f t="shared" ca="1" si="161"/>
        <v>-1.364143320047742</v>
      </c>
      <c r="N387" s="304">
        <f t="shared" ca="1" si="162"/>
        <v>-78.15965488969951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1.7842999999999964</v>
      </c>
      <c r="T387" s="304">
        <f t="shared" ca="1" si="146"/>
        <v>17.503982999999966</v>
      </c>
      <c r="U387" s="311">
        <f t="shared" ca="1" si="147"/>
        <v>0</v>
      </c>
      <c r="V387" s="306">
        <f t="shared" ca="1" si="148"/>
        <v>0.93260261526833377</v>
      </c>
      <c r="W387" s="304">
        <f t="shared" ca="1" si="149"/>
        <v>5.5952394934498146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>
        <f t="shared" ca="1" si="170"/>
        <v>31.000000000000156</v>
      </c>
      <c r="AD387" s="323">
        <f t="shared" ca="1" si="171"/>
        <v>643.54569494600628</v>
      </c>
      <c r="AE387" s="324" t="e">
        <f t="shared" ca="1" si="150"/>
        <v>#N/A</v>
      </c>
      <c r="AG387" s="306">
        <f t="shared" ca="1" si="172"/>
        <v>6.5222172926656397</v>
      </c>
      <c r="AH387" s="304">
        <f t="shared" ca="1" si="173"/>
        <v>-3.0728633062480677</v>
      </c>
    </row>
    <row r="388" spans="1:34" x14ac:dyDescent="0.2">
      <c r="A388" s="347">
        <f t="shared" ca="1" si="151"/>
        <v>0.1</v>
      </c>
      <c r="B388" s="304">
        <f t="shared" ca="1" si="152"/>
        <v>31.100000000000158</v>
      </c>
      <c r="D388" s="306">
        <f t="shared" ca="1" si="153"/>
        <v>-0.6434236152850652</v>
      </c>
      <c r="E388" s="307">
        <f t="shared" ca="1" si="154"/>
        <v>-6.7409026411354835</v>
      </c>
      <c r="F388" s="304">
        <f t="shared" ca="1" si="155"/>
        <v>6.771540619827503</v>
      </c>
      <c r="G388" s="306">
        <f t="shared" ca="1" si="156"/>
        <v>13.653117712338549</v>
      </c>
      <c r="H388" s="307">
        <f t="shared" ca="1" si="157"/>
        <v>-66.105665175119242</v>
      </c>
      <c r="I388" s="304">
        <f t="shared" ca="1" si="158"/>
        <v>67.500863635304299</v>
      </c>
      <c r="J388" s="306">
        <f t="shared" ca="1" si="159"/>
        <v>644.91422383531653</v>
      </c>
      <c r="K388" s="307">
        <f t="shared" ca="1" si="160"/>
        <v>2703.8145943510767</v>
      </c>
      <c r="L388" s="304">
        <f t="shared" ref="L388:L451" ca="1" si="174">SQRT(pos_x^2+pos_z^2)</f>
        <v>2779.6632380076162</v>
      </c>
      <c r="M388" s="306">
        <f t="shared" ca="1" si="161"/>
        <v>-1.3671253123172744</v>
      </c>
      <c r="N388" s="304">
        <f t="shared" ca="1" si="162"/>
        <v>-78.330510461284362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1.7842999999999964</v>
      </c>
      <c r="T388" s="304">
        <f t="shared" ref="T388:T451" ca="1" si="175">m*g</f>
        <v>17.503982999999966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0.93322763158890787</v>
      </c>
      <c r="W388" s="304">
        <f t="shared" ref="W388:W451" ca="1" si="178">1/2*Rho*Sref*Cx*vit_xz^2</f>
        <v>5.7078594838058638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 t="e">
        <f t="shared" ref="AE388:AE451" ca="1" si="179">IF(t&lt;T_para, pos_z, NA())</f>
        <v>#N/A</v>
      </c>
      <c r="AG388" s="306">
        <f t="shared" ca="1" si="172"/>
        <v>6.4654564094769054</v>
      </c>
      <c r="AH388" s="304">
        <f t="shared" ca="1" si="173"/>
        <v>-3.1358176839375811</v>
      </c>
    </row>
    <row r="389" spans="1:34" x14ac:dyDescent="0.2">
      <c r="A389" s="347">
        <f t="shared" ref="A389:A452" ca="1" si="180">IF(B388+0.01&lt;=T_ini+ROUNDUP(Temps_fin_propu,0), 0.01, IF(K388&gt;0, 0.1, 0.0001))</f>
        <v>0.1</v>
      </c>
      <c r="B389" s="304">
        <f t="shared" ref="B389:B452" ca="1" si="181">B388+pas</f>
        <v>31.200000000000159</v>
      </c>
      <c r="D389" s="306">
        <f t="shared" ref="D389:D452" ca="1" si="182">IF(AND(L388&lt;L_rampe,Poussee&lt;Poids*SIN(M388)),0,(-W388+Poussee)/m*COS(M388)-U388/m*SIN(M388))</f>
        <v>-0.64703519252661912</v>
      </c>
      <c r="E389" s="307">
        <f t="shared" ref="E389:E452" ca="1" si="183">IF(AND(L388&lt;L_rampe,Poussee&lt;Poids*SIN(M388)),0,(-W388+Poussee)/m*SIN(M388)+U388/m*COS(M388)-Poids/m)</f>
        <v>-6.6771850126195664</v>
      </c>
      <c r="F389" s="304">
        <f t="shared" ref="F389:F452" ca="1" si="184">SQRT(acc_x^2+acc_z^2)</f>
        <v>6.7084613908942874</v>
      </c>
      <c r="G389" s="306">
        <f t="shared" ref="G389:G452" ca="1" si="185">G388+acc_x*pas</f>
        <v>13.588414193085887</v>
      </c>
      <c r="H389" s="307">
        <f t="shared" ref="H389:H452" ca="1" si="186">H388+acc_z*pas</f>
        <v>-66.773383676381201</v>
      </c>
      <c r="I389" s="304">
        <f t="shared" ref="I389:I452" ca="1" si="187">SQRT(vit_x^2+vit_z^2)</f>
        <v>68.141982418154441</v>
      </c>
      <c r="J389" s="306">
        <f t="shared" ref="J389:J452" ca="1" si="188">J388+0.5*(vit_x+G388)*pas*(K388&gt;=0)</f>
        <v>646.27630043058775</v>
      </c>
      <c r="K389" s="307">
        <f t="shared" ref="K389:K452" ca="1" si="189">K388+0.5*(vit_z+H388)*pas</f>
        <v>2697.1706419085017</v>
      </c>
      <c r="L389" s="304">
        <f t="shared" ca="1" si="174"/>
        <v>2773.5180778338845</v>
      </c>
      <c r="M389" s="306">
        <f t="shared" ref="M389:M452" ca="1" si="190">IF(AND(L388&gt;L_rampe,G389&gt;0),ATAN2(G389,H389),$M$4)</f>
        <v>-1.3700372183901979</v>
      </c>
      <c r="N389" s="304">
        <f t="shared" ref="N389:N452" ca="1" si="191">DEGREES(Beta)</f>
        <v>-78.497350389601394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1.7842999999999964</v>
      </c>
      <c r="T389" s="304">
        <f t="shared" ca="1" si="175"/>
        <v>17.503982999999966</v>
      </c>
      <c r="U389" s="311">
        <f t="shared" ca="1" si="176"/>
        <v>0</v>
      </c>
      <c r="V389" s="306">
        <f t="shared" ca="1" si="177"/>
        <v>0.93385939146641639</v>
      </c>
      <c r="W389" s="304">
        <f t="shared" ca="1" si="178"/>
        <v>5.8207378995174492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 t="e">
        <f t="shared" ca="1" si="179"/>
        <v>#N/A</v>
      </c>
      <c r="AG389" s="306">
        <f t="shared" ref="AG389:AG452" ca="1" si="201">IF(AND(L388&lt;L_rampe,Poussee&lt;Poids*SIN(M388)),0,(-W388+Poussee)/m-Poids*SIN(M388)/m)</f>
        <v>6.4082988840860011</v>
      </c>
      <c r="AH389" s="304">
        <f t="shared" ref="AH389:AH452" ca="1" si="202">IF(AND(L388&lt;L_rampe,Poussee&lt;Poids*SIN(M388)), g*SIN(M388), (-W388+Poussee)/m)</f>
        <v>-3.1989348673462281</v>
      </c>
    </row>
    <row r="390" spans="1:34" x14ac:dyDescent="0.2">
      <c r="A390" s="347">
        <f t="shared" ca="1" si="180"/>
        <v>0.1</v>
      </c>
      <c r="B390" s="304">
        <f t="shared" ca="1" si="181"/>
        <v>31.300000000000161</v>
      </c>
      <c r="D390" s="306">
        <f t="shared" ca="1" si="182"/>
        <v>-0.65052528355527339</v>
      </c>
      <c r="E390" s="307">
        <f t="shared" ca="1" si="183"/>
        <v>-6.6133227621126602</v>
      </c>
      <c r="F390" s="304">
        <f t="shared" ca="1" si="184"/>
        <v>6.6452404847696895</v>
      </c>
      <c r="G390" s="306">
        <f t="shared" ca="1" si="185"/>
        <v>13.523361664730359</v>
      </c>
      <c r="H390" s="307">
        <f t="shared" ca="1" si="186"/>
        <v>-67.43471595259247</v>
      </c>
      <c r="I390" s="304">
        <f t="shared" ca="1" si="187"/>
        <v>68.777338028757185</v>
      </c>
      <c r="J390" s="306">
        <f t="shared" ca="1" si="188"/>
        <v>647.63188922347854</v>
      </c>
      <c r="K390" s="307">
        <f t="shared" ca="1" si="189"/>
        <v>2690.4602369270528</v>
      </c>
      <c r="L390" s="304">
        <f t="shared" ca="1" si="174"/>
        <v>2767.3097677030564</v>
      </c>
      <c r="M390" s="306">
        <f t="shared" ca="1" si="190"/>
        <v>-1.3728815369969187</v>
      </c>
      <c r="N390" s="304">
        <f t="shared" ca="1" si="191"/>
        <v>-78.660317841357028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1.7842999999999964</v>
      </c>
      <c r="T390" s="304">
        <f t="shared" ca="1" si="175"/>
        <v>17.503982999999966</v>
      </c>
      <c r="U390" s="311">
        <f t="shared" ca="1" si="176"/>
        <v>0</v>
      </c>
      <c r="V390" s="306">
        <f t="shared" ca="1" si="177"/>
        <v>0.93449784571826833</v>
      </c>
      <c r="W390" s="304">
        <f t="shared" ca="1" si="178"/>
        <v>5.9338430523388173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 t="e">
        <f t="shared" ca="1" si="179"/>
        <v>#N/A</v>
      </c>
      <c r="AG390" s="306">
        <f t="shared" ca="1" si="201"/>
        <v>6.3507740135686941</v>
      </c>
      <c r="AH390" s="304">
        <f t="shared" ca="1" si="202"/>
        <v>-3.262196883661638</v>
      </c>
    </row>
    <row r="391" spans="1:34" x14ac:dyDescent="0.2">
      <c r="A391" s="347">
        <f t="shared" ca="1" si="180"/>
        <v>0.1</v>
      </c>
      <c r="B391" s="304">
        <f t="shared" ca="1" si="181"/>
        <v>31.400000000000162</v>
      </c>
      <c r="D391" s="306">
        <f t="shared" ca="1" si="182"/>
        <v>-0.6538941918142801</v>
      </c>
      <c r="E391" s="307">
        <f t="shared" ca="1" si="183"/>
        <v>-6.5493337410291623</v>
      </c>
      <c r="F391" s="304">
        <f t="shared" ca="1" si="184"/>
        <v>6.5818956285762757</v>
      </c>
      <c r="G391" s="306">
        <f t="shared" ca="1" si="185"/>
        <v>13.45797224554893</v>
      </c>
      <c r="H391" s="307">
        <f t="shared" ca="1" si="186"/>
        <v>-68.08964932669538</v>
      </c>
      <c r="I391" s="304">
        <f t="shared" ca="1" si="187"/>
        <v>69.406897080868802</v>
      </c>
      <c r="J391" s="306">
        <f t="shared" ca="1" si="188"/>
        <v>648.98095591899255</v>
      </c>
      <c r="K391" s="307">
        <f t="shared" ca="1" si="189"/>
        <v>2683.6840186630884</v>
      </c>
      <c r="L391" s="304">
        <f t="shared" ca="1" si="174"/>
        <v>2761.0389698758677</v>
      </c>
      <c r="M391" s="306">
        <f t="shared" ca="1" si="190"/>
        <v>-1.3756606501987161</v>
      </c>
      <c r="N391" s="304">
        <f t="shared" ca="1" si="191"/>
        <v>-78.819549298609104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1.7842999999999964</v>
      </c>
      <c r="T391" s="304">
        <f t="shared" ca="1" si="175"/>
        <v>17.503982999999966</v>
      </c>
      <c r="U391" s="311">
        <f t="shared" ca="1" si="176"/>
        <v>0</v>
      </c>
      <c r="V391" s="306">
        <f t="shared" ca="1" si="177"/>
        <v>0.9351429450209704</v>
      </c>
      <c r="W391" s="304">
        <f t="shared" ca="1" si="178"/>
        <v>6.0471436474223648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 t="e">
        <f t="shared" ca="1" si="179"/>
        <v>#N/A</v>
      </c>
      <c r="AG391" s="306">
        <f t="shared" ca="1" si="201"/>
        <v>6.2929102123390415</v>
      </c>
      <c r="AH391" s="304">
        <f t="shared" ca="1" si="202"/>
        <v>-3.3255859734006776</v>
      </c>
    </row>
    <row r="392" spans="1:34" x14ac:dyDescent="0.2">
      <c r="A392" s="347">
        <f t="shared" ca="1" si="180"/>
        <v>0.1</v>
      </c>
      <c r="B392" s="304">
        <f t="shared" ca="1" si="181"/>
        <v>31.500000000000163</v>
      </c>
      <c r="D392" s="306">
        <f t="shared" ca="1" si="182"/>
        <v>-0.65714227792963953</v>
      </c>
      <c r="E392" s="307">
        <f t="shared" ca="1" si="183"/>
        <v>-6.4852355818853962</v>
      </c>
      <c r="F392" s="304">
        <f t="shared" ca="1" si="184"/>
        <v>6.5184443332742337</v>
      </c>
      <c r="G392" s="306">
        <f t="shared" ca="1" si="185"/>
        <v>13.392258017755966</v>
      </c>
      <c r="H392" s="307">
        <f t="shared" ca="1" si="186"/>
        <v>-68.738172884883923</v>
      </c>
      <c r="I392" s="304">
        <f t="shared" ca="1" si="187"/>
        <v>70.03062891597034</v>
      </c>
      <c r="J392" s="306">
        <f t="shared" ca="1" si="188"/>
        <v>650.32346743215783</v>
      </c>
      <c r="K392" s="307">
        <f t="shared" ca="1" si="189"/>
        <v>2676.8426275525094</v>
      </c>
      <c r="L392" s="304">
        <f t="shared" ca="1" si="174"/>
        <v>2754.7063482293729</v>
      </c>
      <c r="M392" s="306">
        <f t="shared" ca="1" si="190"/>
        <v>-1.3783768299916495</v>
      </c>
      <c r="N392" s="304">
        <f t="shared" ca="1" si="191"/>
        <v>-78.97517493714291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1.7842999999999964</v>
      </c>
      <c r="T392" s="304">
        <f t="shared" ca="1" si="175"/>
        <v>17.503982999999966</v>
      </c>
      <c r="U392" s="311">
        <f t="shared" ca="1" si="176"/>
        <v>0</v>
      </c>
      <c r="V392" s="306">
        <f t="shared" ca="1" si="177"/>
        <v>0.9357946399233148</v>
      </c>
      <c r="W392" s="304">
        <f t="shared" ca="1" si="178"/>
        <v>6.1606087954774722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 t="e">
        <f t="shared" ca="1" si="179"/>
        <v>#N/A</v>
      </c>
      <c r="AG392" s="306">
        <f t="shared" ca="1" si="201"/>
        <v>6.2347350513254387</v>
      </c>
      <c r="AH392" s="304">
        <f t="shared" ca="1" si="202"/>
        <v>-3.389084597557797</v>
      </c>
    </row>
    <row r="393" spans="1:34" x14ac:dyDescent="0.2">
      <c r="A393" s="347">
        <f t="shared" ca="1" si="180"/>
        <v>0.1</v>
      </c>
      <c r="B393" s="304">
        <f t="shared" ca="1" si="181"/>
        <v>31.600000000000165</v>
      </c>
      <c r="D393" s="306">
        <f t="shared" ca="1" si="182"/>
        <v>-0.66026995785967812</v>
      </c>
      <c r="E393" s="307">
        <f t="shared" ca="1" si="183"/>
        <v>-6.4210456911837124</v>
      </c>
      <c r="F393" s="304">
        <f t="shared" ca="1" si="184"/>
        <v>6.4549038866214685</v>
      </c>
      <c r="G393" s="306">
        <f t="shared" ca="1" si="185"/>
        <v>13.326231021969997</v>
      </c>
      <c r="H393" s="307">
        <f t="shared" ca="1" si="186"/>
        <v>-69.380277454002297</v>
      </c>
      <c r="I393" s="304">
        <f t="shared" ca="1" si="187"/>
        <v>70.648505524499626</v>
      </c>
      <c r="J393" s="306">
        <f t="shared" ca="1" si="188"/>
        <v>651.65939188414416</v>
      </c>
      <c r="K393" s="307">
        <f t="shared" ca="1" si="189"/>
        <v>2669.936705035565</v>
      </c>
      <c r="L393" s="304">
        <f t="shared" ca="1" si="174"/>
        <v>2748.3125680910061</v>
      </c>
      <c r="M393" s="306">
        <f t="shared" ca="1" si="190"/>
        <v>-1.3810322444754062</v>
      </c>
      <c r="N393" s="304">
        <f t="shared" ca="1" si="191"/>
        <v>-79.127318979920076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1.7842999999999964</v>
      </c>
      <c r="T393" s="304">
        <f t="shared" ca="1" si="175"/>
        <v>17.503982999999966</v>
      </c>
      <c r="U393" s="311">
        <f t="shared" ca="1" si="176"/>
        <v>0</v>
      </c>
      <c r="V393" s="306">
        <f t="shared" ca="1" si="177"/>
        <v>0.93645288085942757</v>
      </c>
      <c r="W393" s="304">
        <f t="shared" ca="1" si="178"/>
        <v>6.274208024333368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 t="e">
        <f t="shared" ca="1" si="179"/>
        <v>#N/A</v>
      </c>
      <c r="AG393" s="306">
        <f t="shared" ca="1" si="201"/>
        <v>6.1762752938330117</v>
      </c>
      <c r="AH393" s="304">
        <f t="shared" ca="1" si="202"/>
        <v>-3.4526754444193712</v>
      </c>
    </row>
    <row r="394" spans="1:34" x14ac:dyDescent="0.2">
      <c r="A394" s="347">
        <f t="shared" ca="1" si="180"/>
        <v>0.1</v>
      </c>
      <c r="B394" s="304">
        <f t="shared" ca="1" si="181"/>
        <v>31.700000000000166</v>
      </c>
      <c r="D394" s="306">
        <f t="shared" ca="1" si="182"/>
        <v>-0.66327770107746409</v>
      </c>
      <c r="E394" s="307">
        <f t="shared" ca="1" si="183"/>
        <v>-6.3567812426529287</v>
      </c>
      <c r="F394" s="304">
        <f t="shared" ca="1" si="184"/>
        <v>6.3912913464878693</v>
      </c>
      <c r="G394" s="306">
        <f t="shared" ca="1" si="185"/>
        <v>13.259903251862251</v>
      </c>
      <c r="H394" s="307">
        <f t="shared" ca="1" si="186"/>
        <v>-70.015955578267594</v>
      </c>
      <c r="I394" s="304">
        <f t="shared" ca="1" si="187"/>
        <v>71.260501470216226</v>
      </c>
      <c r="J394" s="306">
        <f t="shared" ca="1" si="188"/>
        <v>652.98869859783576</v>
      </c>
      <c r="K394" s="307">
        <f t="shared" ca="1" si="189"/>
        <v>2662.9668933839516</v>
      </c>
      <c r="L394" s="304">
        <f t="shared" ca="1" si="174"/>
        <v>2741.8582960750305</v>
      </c>
      <c r="M394" s="306">
        <f t="shared" ca="1" si="190"/>
        <v>-1.383628963619485</v>
      </c>
      <c r="N394" s="304">
        <f t="shared" ca="1" si="191"/>
        <v>-79.276100027456607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1.7842999999999964</v>
      </c>
      <c r="T394" s="304">
        <f t="shared" ca="1" si="175"/>
        <v>17.503982999999966</v>
      </c>
      <c r="U394" s="311">
        <f t="shared" ca="1" si="176"/>
        <v>0</v>
      </c>
      <c r="V394" s="306">
        <f t="shared" ca="1" si="177"/>
        <v>0.93711761816166583</v>
      </c>
      <c r="W394" s="304">
        <f t="shared" ca="1" si="178"/>
        <v>6.3879112899070947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 t="e">
        <f t="shared" ca="1" si="179"/>
        <v>#N/A</v>
      </c>
      <c r="AG394" s="306">
        <f t="shared" ca="1" si="201"/>
        <v>6.117556928412311</v>
      </c>
      <c r="AH394" s="304">
        <f t="shared" ca="1" si="202"/>
        <v>-3.5163414360440401</v>
      </c>
    </row>
    <row r="395" spans="1:34" x14ac:dyDescent="0.2">
      <c r="A395" s="347">
        <f t="shared" ca="1" si="180"/>
        <v>0.1</v>
      </c>
      <c r="B395" s="304">
        <f t="shared" ca="1" si="181"/>
        <v>31.800000000000168</v>
      </c>
      <c r="D395" s="306">
        <f t="shared" ca="1" si="182"/>
        <v>-0.66616602878412068</v>
      </c>
      <c r="E395" s="307">
        <f t="shared" ca="1" si="183"/>
        <v>-6.2924591708427933</v>
      </c>
      <c r="F395" s="304">
        <f t="shared" ca="1" si="184"/>
        <v>6.3276235345214387</v>
      </c>
      <c r="G395" s="306">
        <f t="shared" ca="1" si="185"/>
        <v>13.19328664898384</v>
      </c>
      <c r="H395" s="307">
        <f t="shared" ca="1" si="186"/>
        <v>-70.64520149535187</v>
      </c>
      <c r="I395" s="304">
        <f t="shared" ca="1" si="187"/>
        <v>71.866593817441498</v>
      </c>
      <c r="J395" s="306">
        <f t="shared" ca="1" si="188"/>
        <v>654.31135809287809</v>
      </c>
      <c r="K395" s="307">
        <f t="shared" ca="1" si="189"/>
        <v>2655.9338355302707</v>
      </c>
      <c r="L395" s="304">
        <f t="shared" ca="1" si="174"/>
        <v>2735.3441999214433</v>
      </c>
      <c r="M395" s="306">
        <f t="shared" ca="1" si="190"/>
        <v>-1.3861689646564559</v>
      </c>
      <c r="N395" s="304">
        <f t="shared" ca="1" si="191"/>
        <v>-79.421631366833907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1.7842999999999964</v>
      </c>
      <c r="T395" s="304">
        <f t="shared" ca="1" si="175"/>
        <v>17.503982999999966</v>
      </c>
      <c r="U395" s="311">
        <f t="shared" ca="1" si="176"/>
        <v>0</v>
      </c>
      <c r="V395" s="306">
        <f t="shared" ca="1" si="177"/>
        <v>0.9377888020733679</v>
      </c>
      <c r="W395" s="304">
        <f t="shared" ca="1" si="178"/>
        <v>6.5016889865782908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 t="e">
        <f t="shared" ca="1" si="179"/>
        <v>#N/A</v>
      </c>
      <c r="AG395" s="306">
        <f t="shared" ca="1" si="201"/>
        <v>6.0586051990229812</v>
      </c>
      <c r="AH395" s="304">
        <f t="shared" ca="1" si="202"/>
        <v>-3.5800657344096325</v>
      </c>
    </row>
    <row r="396" spans="1:34" x14ac:dyDescent="0.2">
      <c r="A396" s="347">
        <f t="shared" ca="1" si="180"/>
        <v>0.1</v>
      </c>
      <c r="B396" s="304">
        <f t="shared" ca="1" si="181"/>
        <v>31.900000000000169</v>
      </c>
      <c r="D396" s="306">
        <f t="shared" ca="1" si="182"/>
        <v>-0.6689355121513334</v>
      </c>
      <c r="E396" s="307">
        <f t="shared" ca="1" si="183"/>
        <v>-6.228096165069898</v>
      </c>
      <c r="F396" s="304">
        <f t="shared" ca="1" si="184"/>
        <v>6.263917030163757</v>
      </c>
      <c r="G396" s="306">
        <f t="shared" ca="1" si="185"/>
        <v>13.126393097768707</v>
      </c>
      <c r="H396" s="307">
        <f t="shared" ca="1" si="186"/>
        <v>-71.268011111858854</v>
      </c>
      <c r="I396" s="304">
        <f t="shared" ca="1" si="187"/>
        <v>72.466762060942031</v>
      </c>
      <c r="J396" s="306">
        <f t="shared" ca="1" si="188"/>
        <v>655.62734208021573</v>
      </c>
      <c r="K396" s="307">
        <f t="shared" ca="1" si="189"/>
        <v>2648.83817489991</v>
      </c>
      <c r="L396" s="304">
        <f t="shared" ca="1" si="174"/>
        <v>2728.770948337411</v>
      </c>
      <c r="M396" s="306">
        <f t="shared" ca="1" si="190"/>
        <v>-1.3886541371295995</v>
      </c>
      <c r="N396" s="304">
        <f t="shared" ca="1" si="191"/>
        <v>-79.564021260907111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1.7842999999999964</v>
      </c>
      <c r="T396" s="304">
        <f t="shared" ca="1" si="175"/>
        <v>17.503982999999966</v>
      </c>
      <c r="U396" s="311">
        <f t="shared" ca="1" si="176"/>
        <v>0</v>
      </c>
      <c r="V396" s="306">
        <f t="shared" ca="1" si="177"/>
        <v>0.93846638276144356</v>
      </c>
      <c r="W396" s="304">
        <f t="shared" ca="1" si="178"/>
        <v>6.6155119569735188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 t="e">
        <f t="shared" ca="1" si="179"/>
        <v>#N/A</v>
      </c>
      <c r="AG396" s="306">
        <f t="shared" ca="1" si="201"/>
        <v>5.9994446327530628</v>
      </c>
      <c r="AH396" s="304">
        <f t="shared" ca="1" si="202"/>
        <v>-3.6438317472276545</v>
      </c>
    </row>
    <row r="397" spans="1:34" x14ac:dyDescent="0.2">
      <c r="A397" s="347">
        <f t="shared" ca="1" si="180"/>
        <v>0.1</v>
      </c>
      <c r="B397" s="304">
        <f t="shared" ca="1" si="181"/>
        <v>32.000000000000171</v>
      </c>
      <c r="D397" s="306">
        <f t="shared" ca="1" si="182"/>
        <v>-0.67158677059165317</v>
      </c>
      <c r="E397" s="307">
        <f t="shared" ca="1" si="183"/>
        <v>-6.1637086637120966</v>
      </c>
      <c r="F397" s="304">
        <f t="shared" ca="1" si="184"/>
        <v>6.2001881650118715</v>
      </c>
      <c r="G397" s="306">
        <f t="shared" ca="1" si="185"/>
        <v>13.059234420709542</v>
      </c>
      <c r="H397" s="307">
        <f t="shared" ca="1" si="186"/>
        <v>-71.884381978230067</v>
      </c>
      <c r="I397" s="304">
        <f t="shared" ca="1" si="187"/>
        <v>73.060988058245783</v>
      </c>
      <c r="J397" s="306">
        <f t="shared" ca="1" si="188"/>
        <v>656.93662345613961</v>
      </c>
      <c r="K397" s="307">
        <f t="shared" ca="1" si="189"/>
        <v>2641.6805552454057</v>
      </c>
      <c r="L397" s="304">
        <f t="shared" ca="1" si="174"/>
        <v>2722.1392108412879</v>
      </c>
      <c r="M397" s="306">
        <f t="shared" ca="1" si="190"/>
        <v>-1.391086287620021</v>
      </c>
      <c r="N397" s="304">
        <f t="shared" ca="1" si="191"/>
        <v>-79.703373219148943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1.7842999999999964</v>
      </c>
      <c r="T397" s="304">
        <f t="shared" ca="1" si="175"/>
        <v>17.503982999999966</v>
      </c>
      <c r="U397" s="311">
        <f t="shared" ca="1" si="176"/>
        <v>0</v>
      </c>
      <c r="V397" s="306">
        <f t="shared" ca="1" si="177"/>
        <v>0.93915031032880436</v>
      </c>
      <c r="W397" s="304">
        <f t="shared" ca="1" si="178"/>
        <v>6.7293515011633902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>
        <f t="shared" ca="1" si="199"/>
        <v>32.000000000000171</v>
      </c>
      <c r="AD397" s="323">
        <f t="shared" ca="1" si="200"/>
        <v>656.93662345613961</v>
      </c>
      <c r="AE397" s="324" t="e">
        <f t="shared" ca="1" si="179"/>
        <v>#N/A</v>
      </c>
      <c r="AG397" s="306">
        <f t="shared" ca="1" si="201"/>
        <v>5.9400990653293686</v>
      </c>
      <c r="AH397" s="304">
        <f t="shared" ca="1" si="202"/>
        <v>-3.7076231334268521</v>
      </c>
    </row>
    <row r="398" spans="1:34" x14ac:dyDescent="0.2">
      <c r="A398" s="347">
        <f t="shared" ca="1" si="180"/>
        <v>0.1</v>
      </c>
      <c r="B398" s="304">
        <f t="shared" ca="1" si="181"/>
        <v>32.100000000000172</v>
      </c>
      <c r="D398" s="306">
        <f t="shared" ca="1" si="182"/>
        <v>-0.67412047005538089</v>
      </c>
      <c r="E398" s="307">
        <f t="shared" ca="1" si="183"/>
        <v>-6.0993128488482951</v>
      </c>
      <c r="F398" s="304">
        <f t="shared" ca="1" si="184"/>
        <v>6.1364530175235261</v>
      </c>
      <c r="G398" s="306">
        <f t="shared" ca="1" si="185"/>
        <v>12.991822373704004</v>
      </c>
      <c r="H398" s="307">
        <f t="shared" ca="1" si="186"/>
        <v>-72.49431326311489</v>
      </c>
      <c r="I398" s="304">
        <f t="shared" ca="1" si="187"/>
        <v>73.649255964201771</v>
      </c>
      <c r="J398" s="306">
        <f t="shared" ca="1" si="188"/>
        <v>658.23917629586026</v>
      </c>
      <c r="K398" s="307">
        <f t="shared" ca="1" si="189"/>
        <v>2634.4616204833383</v>
      </c>
      <c r="L398" s="304">
        <f t="shared" ca="1" si="174"/>
        <v>2715.4496576092788</v>
      </c>
      <c r="M398" s="306">
        <f t="shared" ca="1" si="190"/>
        <v>-1.393467144176316</v>
      </c>
      <c r="N398" s="304">
        <f t="shared" ca="1" si="191"/>
        <v>-79.839786251450704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1.7842999999999964</v>
      </c>
      <c r="T398" s="304">
        <f t="shared" ca="1" si="175"/>
        <v>17.503982999999966</v>
      </c>
      <c r="U398" s="311">
        <f t="shared" ca="1" si="176"/>
        <v>0</v>
      </c>
      <c r="V398" s="306">
        <f t="shared" ca="1" si="177"/>
        <v>0.9398405348266311</v>
      </c>
      <c r="W398" s="304">
        <f t="shared" ca="1" si="178"/>
        <v>6.8431793852767493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 t="e">
        <f t="shared" ca="1" si="179"/>
        <v>#N/A</v>
      </c>
      <c r="AG398" s="306">
        <f t="shared" ca="1" si="201"/>
        <v>5.8805916646318224</v>
      </c>
      <c r="AH398" s="304">
        <f t="shared" ca="1" si="202"/>
        <v>-3.7714238083076856</v>
      </c>
    </row>
    <row r="399" spans="1:34" x14ac:dyDescent="0.2">
      <c r="A399" s="347">
        <f t="shared" ca="1" si="180"/>
        <v>0.1</v>
      </c>
      <c r="B399" s="304">
        <f t="shared" ca="1" si="181"/>
        <v>32.200000000000173</v>
      </c>
      <c r="D399" s="306">
        <f t="shared" ca="1" si="182"/>
        <v>-0.67653732135304401</v>
      </c>
      <c r="E399" s="307">
        <f t="shared" ca="1" si="183"/>
        <v>-6.0349246412400488</v>
      </c>
      <c r="F399" s="304">
        <f t="shared" ca="1" si="184"/>
        <v>6.0727274080622031</v>
      </c>
      <c r="G399" s="306">
        <f t="shared" ca="1" si="185"/>
        <v>12.924168641568698</v>
      </c>
      <c r="H399" s="307">
        <f t="shared" ca="1" si="186"/>
        <v>-73.097805727238892</v>
      </c>
      <c r="I399" s="304">
        <f t="shared" ca="1" si="187"/>
        <v>74.231552167611767</v>
      </c>
      <c r="J399" s="306">
        <f t="shared" ca="1" si="188"/>
        <v>659.53497584662387</v>
      </c>
      <c r="K399" s="307">
        <f t="shared" ca="1" si="189"/>
        <v>2627.1820145338206</v>
      </c>
      <c r="L399" s="304">
        <f t="shared" ca="1" si="174"/>
        <v>2708.7029593248112</v>
      </c>
      <c r="M399" s="306">
        <f t="shared" ca="1" si="190"/>
        <v>-1.3957983604680184</v>
      </c>
      <c r="N399" s="304">
        <f t="shared" ca="1" si="191"/>
        <v>-79.973355106097387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1.7842999999999964</v>
      </c>
      <c r="T399" s="304">
        <f t="shared" ca="1" si="175"/>
        <v>17.503982999999966</v>
      </c>
      <c r="U399" s="311">
        <f t="shared" ca="1" si="176"/>
        <v>0</v>
      </c>
      <c r="V399" s="306">
        <f t="shared" ca="1" si="177"/>
        <v>0.9405370062664663</v>
      </c>
      <c r="W399" s="304">
        <f t="shared" ca="1" si="178"/>
        <v>6.9569678495367073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 t="e">
        <f t="shared" ca="1" si="179"/>
        <v>#N/A</v>
      </c>
      <c r="AG399" s="306">
        <f t="shared" ca="1" si="201"/>
        <v>5.8209449524042229</v>
      </c>
      <c r="AH399" s="304">
        <f t="shared" ca="1" si="202"/>
        <v>-3.8352179483700963</v>
      </c>
    </row>
    <row r="400" spans="1:34" x14ac:dyDescent="0.2">
      <c r="A400" s="347">
        <f t="shared" ca="1" si="180"/>
        <v>0.1</v>
      </c>
      <c r="B400" s="304">
        <f t="shared" ca="1" si="181"/>
        <v>32.300000000000175</v>
      </c>
      <c r="D400" s="306">
        <f t="shared" ca="1" si="182"/>
        <v>-0.67883807850265809</v>
      </c>
      <c r="E400" s="307">
        <f t="shared" ca="1" si="183"/>
        <v>-5.9705596956512235</v>
      </c>
      <c r="F400" s="304">
        <f t="shared" ca="1" si="184"/>
        <v>6.0090268942783078</v>
      </c>
      <c r="G400" s="306">
        <f t="shared" ca="1" si="185"/>
        <v>12.856284833718433</v>
      </c>
      <c r="H400" s="307">
        <f t="shared" ca="1" si="186"/>
        <v>-73.694861696804011</v>
      </c>
      <c r="I400" s="304">
        <f t="shared" ca="1" si="187"/>
        <v>74.80786522977894</v>
      </c>
      <c r="J400" s="306">
        <f t="shared" ca="1" si="188"/>
        <v>660.82399852038827</v>
      </c>
      <c r="K400" s="307">
        <f t="shared" ca="1" si="189"/>
        <v>2619.8423811626185</v>
      </c>
      <c r="L400" s="304">
        <f t="shared" ca="1" si="174"/>
        <v>2701.8997870306539</v>
      </c>
      <c r="M400" s="306">
        <f t="shared" ca="1" si="190"/>
        <v>-1.3980815196823875</v>
      </c>
      <c r="N400" s="304">
        <f t="shared" ca="1" si="191"/>
        <v>-80.104170493037131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1.7842999999999964</v>
      </c>
      <c r="T400" s="304">
        <f t="shared" ca="1" si="175"/>
        <v>17.503982999999966</v>
      </c>
      <c r="U400" s="311">
        <f t="shared" ca="1" si="176"/>
        <v>0</v>
      </c>
      <c r="V400" s="306">
        <f t="shared" ca="1" si="177"/>
        <v>0.94123967463213987</v>
      </c>
      <c r="W400" s="304">
        <f t="shared" ca="1" si="178"/>
        <v>7.0706896157240635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 t="e">
        <f t="shared" ca="1" si="179"/>
        <v>#N/A</v>
      </c>
      <c r="AG400" s="306">
        <f t="shared" ca="1" si="201"/>
        <v>5.7611808243355505</v>
      </c>
      <c r="AH400" s="304">
        <f t="shared" ca="1" si="202"/>
        <v>-3.8989899958172511</v>
      </c>
    </row>
    <row r="401" spans="1:34" x14ac:dyDescent="0.2">
      <c r="A401" s="347">
        <f t="shared" ca="1" si="180"/>
        <v>0.1</v>
      </c>
      <c r="B401" s="304">
        <f t="shared" ca="1" si="181"/>
        <v>32.400000000000176</v>
      </c>
      <c r="D401" s="306">
        <f t="shared" ca="1" si="182"/>
        <v>-0.68102353710108499</v>
      </c>
      <c r="E401" s="307">
        <f t="shared" ca="1" si="183"/>
        <v>-5.9062333965016212</v>
      </c>
      <c r="F401" s="304">
        <f t="shared" ca="1" si="184"/>
        <v>5.9453667668224428</v>
      </c>
      <c r="G401" s="306">
        <f t="shared" ca="1" si="185"/>
        <v>12.788182480008325</v>
      </c>
      <c r="H401" s="307">
        <f t="shared" ca="1" si="186"/>
        <v>-74.285485036454176</v>
      </c>
      <c r="I401" s="304">
        <f t="shared" ca="1" si="187"/>
        <v>75.37818582483429</v>
      </c>
      <c r="J401" s="306">
        <f t="shared" ca="1" si="188"/>
        <v>662.10622188607465</v>
      </c>
      <c r="K401" s="307">
        <f t="shared" ca="1" si="189"/>
        <v>2612.4433638259557</v>
      </c>
      <c r="L401" s="304">
        <f t="shared" ca="1" si="174"/>
        <v>2695.0408119838421</v>
      </c>
      <c r="M401" s="306">
        <f t="shared" ca="1" si="190"/>
        <v>-1.4003181381825454</v>
      </c>
      <c r="N401" s="304">
        <f t="shared" ca="1" si="191"/>
        <v>-80.232319293477062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1.7842999999999964</v>
      </c>
      <c r="T401" s="304">
        <f t="shared" ca="1" si="175"/>
        <v>17.503982999999966</v>
      </c>
      <c r="U401" s="311">
        <f t="shared" ca="1" si="176"/>
        <v>0</v>
      </c>
      <c r="V401" s="306">
        <f t="shared" ca="1" si="177"/>
        <v>0.94194848989151236</v>
      </c>
      <c r="W401" s="304">
        <f t="shared" ca="1" si="178"/>
        <v>7.1843178940743444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 t="e">
        <f t="shared" ca="1" si="179"/>
        <v>#N/A</v>
      </c>
      <c r="AG401" s="306">
        <f t="shared" ca="1" si="201"/>
        <v>5.701320568669491</v>
      </c>
      <c r="AH401" s="304">
        <f t="shared" ca="1" si="202"/>
        <v>-3.9627246627383723</v>
      </c>
    </row>
    <row r="402" spans="1:34" x14ac:dyDescent="0.2">
      <c r="A402" s="347">
        <f t="shared" ca="1" si="180"/>
        <v>0.1</v>
      </c>
      <c r="B402" s="304">
        <f t="shared" ca="1" si="181"/>
        <v>32.500000000000178</v>
      </c>
      <c r="D402" s="306">
        <f t="shared" ca="1" si="182"/>
        <v>-0.68309453271898923</v>
      </c>
      <c r="E402" s="307">
        <f t="shared" ca="1" si="183"/>
        <v>-5.8419608538501953</v>
      </c>
      <c r="F402" s="304">
        <f t="shared" ca="1" si="184"/>
        <v>5.8817620453864574</v>
      </c>
      <c r="G402" s="306">
        <f t="shared" ca="1" si="185"/>
        <v>12.719873026736426</v>
      </c>
      <c r="H402" s="307">
        <f t="shared" ca="1" si="186"/>
        <v>-74.869681121839193</v>
      </c>
      <c r="I402" s="304">
        <f t="shared" ca="1" si="187"/>
        <v>75.942506681714036</v>
      </c>
      <c r="J402" s="306">
        <f t="shared" ca="1" si="188"/>
        <v>663.38162466141193</v>
      </c>
      <c r="K402" s="307">
        <f t="shared" ca="1" si="189"/>
        <v>2604.9856055180412</v>
      </c>
      <c r="L402" s="304">
        <f t="shared" ca="1" si="174"/>
        <v>2688.1267055134531</v>
      </c>
      <c r="M402" s="306">
        <f t="shared" ca="1" si="190"/>
        <v>-1.4025096689435785</v>
      </c>
      <c r="N402" s="304">
        <f t="shared" ca="1" si="191"/>
        <v>-80.357884756757358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1.7842999999999964</v>
      </c>
      <c r="T402" s="304">
        <f t="shared" ca="1" si="175"/>
        <v>17.503982999999966</v>
      </c>
      <c r="U402" s="311">
        <f t="shared" ca="1" si="176"/>
        <v>0</v>
      </c>
      <c r="V402" s="306">
        <f t="shared" ca="1" si="177"/>
        <v>0.94266340200803955</v>
      </c>
      <c r="W402" s="304">
        <f t="shared" ca="1" si="178"/>
        <v>7.2978263896151949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 t="e">
        <f t="shared" ca="1" si="179"/>
        <v>#N/A</v>
      </c>
      <c r="AG402" s="306">
        <f t="shared" ca="1" si="201"/>
        <v>5.6413848834848643</v>
      </c>
      <c r="AH402" s="304">
        <f t="shared" ca="1" si="202"/>
        <v>-4.0264069349741405</v>
      </c>
    </row>
    <row r="403" spans="1:34" x14ac:dyDescent="0.2">
      <c r="A403" s="347">
        <f t="shared" ca="1" si="180"/>
        <v>0.1</v>
      </c>
      <c r="B403" s="304">
        <f t="shared" ca="1" si="181"/>
        <v>32.600000000000179</v>
      </c>
      <c r="D403" s="306">
        <f t="shared" ca="1" si="182"/>
        <v>-0.68505193931896469</v>
      </c>
      <c r="E403" s="307">
        <f t="shared" ca="1" si="183"/>
        <v>-5.7777568997032738</v>
      </c>
      <c r="F403" s="304">
        <f t="shared" ca="1" si="184"/>
        <v>5.8182274750677685</v>
      </c>
      <c r="G403" s="306">
        <f t="shared" ca="1" si="185"/>
        <v>12.65136783280453</v>
      </c>
      <c r="H403" s="307">
        <f t="shared" ca="1" si="186"/>
        <v>-75.447456811809516</v>
      </c>
      <c r="I403" s="304">
        <f t="shared" ca="1" si="187"/>
        <v>76.500822527674714</v>
      </c>
      <c r="J403" s="306">
        <f t="shared" ca="1" si="188"/>
        <v>664.65018670438894</v>
      </c>
      <c r="K403" s="307">
        <f t="shared" ca="1" si="189"/>
        <v>2597.4697486213586</v>
      </c>
      <c r="L403" s="304">
        <f t="shared" ca="1" si="174"/>
        <v>2681.1581388812715</v>
      </c>
      <c r="M403" s="306">
        <f t="shared" ca="1" si="190"/>
        <v>-1.4046575047819274</v>
      </c>
      <c r="N403" s="304">
        <f t="shared" ca="1" si="191"/>
        <v>-80.480946685381696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1.7842999999999964</v>
      </c>
      <c r="T403" s="304">
        <f t="shared" ca="1" si="175"/>
        <v>17.503982999999966</v>
      </c>
      <c r="U403" s="311">
        <f t="shared" ca="1" si="176"/>
        <v>0</v>
      </c>
      <c r="V403" s="306">
        <f t="shared" ca="1" si="177"/>
        <v>0.94338436095215594</v>
      </c>
      <c r="W403" s="304">
        <f t="shared" ca="1" si="178"/>
        <v>7.4111893079516618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 t="e">
        <f t="shared" ca="1" si="179"/>
        <v>#N/A</v>
      </c>
      <c r="AG403" s="306">
        <f t="shared" ca="1" si="201"/>
        <v>5.5813938927761875</v>
      </c>
      <c r="AH403" s="304">
        <f t="shared" ca="1" si="202"/>
        <v>-4.0900220756684469</v>
      </c>
    </row>
    <row r="404" spans="1:34" x14ac:dyDescent="0.2">
      <c r="A404" s="347">
        <f t="shared" ca="1" si="180"/>
        <v>0.1</v>
      </c>
      <c r="B404" s="304">
        <f t="shared" ca="1" si="181"/>
        <v>32.70000000000018</v>
      </c>
      <c r="D404" s="306">
        <f t="shared" ca="1" si="182"/>
        <v>-0.68689666769654723</v>
      </c>
      <c r="E404" s="307">
        <f t="shared" ca="1" si="183"/>
        <v>-5.7136360846428147</v>
      </c>
      <c r="F404" s="304">
        <f t="shared" ca="1" si="184"/>
        <v>5.7547775230520504</v>
      </c>
      <c r="G404" s="306">
        <f t="shared" ca="1" si="185"/>
        <v>12.582678166034874</v>
      </c>
      <c r="H404" s="307">
        <f t="shared" ca="1" si="186"/>
        <v>-76.018820420273798</v>
      </c>
      <c r="I404" s="304">
        <f t="shared" ca="1" si="187"/>
        <v>77.053130033242951</v>
      </c>
      <c r="J404" s="306">
        <f t="shared" ca="1" si="188"/>
        <v>665.91188900433087</v>
      </c>
      <c r="K404" s="307">
        <f t="shared" ca="1" si="189"/>
        <v>2589.8964347597544</v>
      </c>
      <c r="L404" s="304">
        <f t="shared" ca="1" si="174"/>
        <v>2674.1357831453893</v>
      </c>
      <c r="M404" s="306">
        <f t="shared" ca="1" si="190"/>
        <v>-1.4067629813922109</v>
      </c>
      <c r="N404" s="304">
        <f t="shared" ca="1" si="191"/>
        <v>-80.601581609014445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1.7842999999999964</v>
      </c>
      <c r="T404" s="304">
        <f t="shared" ca="1" si="175"/>
        <v>17.503982999999966</v>
      </c>
      <c r="U404" s="311">
        <f t="shared" ca="1" si="176"/>
        <v>0</v>
      </c>
      <c r="V404" s="306">
        <f t="shared" ca="1" si="177"/>
        <v>0.94411131671246729</v>
      </c>
      <c r="W404" s="304">
        <f t="shared" ca="1" si="178"/>
        <v>7.5243813605071752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 t="e">
        <f t="shared" ca="1" si="199"/>
        <v>#N/A</v>
      </c>
      <c r="AD404" s="323" t="e">
        <f t="shared" ca="1" si="200"/>
        <v>#N/A</v>
      </c>
      <c r="AE404" s="324" t="e">
        <f t="shared" ca="1" si="179"/>
        <v>#N/A</v>
      </c>
      <c r="AG404" s="306">
        <f t="shared" ca="1" si="201"/>
        <v>5.5213671614514501</v>
      </c>
      <c r="AH404" s="304">
        <f t="shared" ca="1" si="202"/>
        <v>-4.1535556285107189</v>
      </c>
    </row>
    <row r="405" spans="1:34" x14ac:dyDescent="0.2">
      <c r="A405" s="347">
        <f t="shared" ca="1" si="180"/>
        <v>0.1</v>
      </c>
      <c r="B405" s="304">
        <f t="shared" ca="1" si="181"/>
        <v>32.800000000000182</v>
      </c>
      <c r="D405" s="306">
        <f t="shared" ca="1" si="182"/>
        <v>-0.6886296639438958</v>
      </c>
      <c r="E405" s="307">
        <f t="shared" ca="1" si="183"/>
        <v>-5.6496126747696236</v>
      </c>
      <c r="F405" s="304">
        <f t="shared" ca="1" si="184"/>
        <v>5.6914263756092875</v>
      </c>
      <c r="G405" s="306">
        <f t="shared" ca="1" si="185"/>
        <v>12.513815199640485</v>
      </c>
      <c r="H405" s="307">
        <f t="shared" ca="1" si="186"/>
        <v>-76.583781687750758</v>
      </c>
      <c r="I405" s="304">
        <f t="shared" ca="1" si="187"/>
        <v>77.599427758507488</v>
      </c>
      <c r="J405" s="306">
        <f t="shared" ca="1" si="188"/>
        <v>667.16671367261461</v>
      </c>
      <c r="K405" s="307">
        <f t="shared" ca="1" si="189"/>
        <v>2582.266304654353</v>
      </c>
      <c r="L405" s="304">
        <f t="shared" ca="1" si="174"/>
        <v>2667.0603090267687</v>
      </c>
      <c r="M405" s="306">
        <f t="shared" ca="1" si="190"/>
        <v>-1.4088273802045599</v>
      </c>
      <c r="N405" s="304">
        <f t="shared" ca="1" si="191"/>
        <v>-80.719862948193864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1.7842999999999964</v>
      </c>
      <c r="T405" s="304">
        <f t="shared" ca="1" si="175"/>
        <v>17.503982999999966</v>
      </c>
      <c r="U405" s="311">
        <f t="shared" ca="1" si="176"/>
        <v>0</v>
      </c>
      <c r="V405" s="306">
        <f t="shared" ca="1" si="177"/>
        <v>0.94484421930675666</v>
      </c>
      <c r="W405" s="304">
        <f t="shared" ca="1" si="178"/>
        <v>7.6373777692288023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 t="e">
        <f t="shared" ca="1" si="179"/>
        <v>#N/A</v>
      </c>
      <c r="AG405" s="306">
        <f t="shared" ca="1" si="201"/>
        <v>5.4613237093531879</v>
      </c>
      <c r="AH405" s="304">
        <f t="shared" ca="1" si="202"/>
        <v>-4.2169934206731998</v>
      </c>
    </row>
    <row r="406" spans="1:34" x14ac:dyDescent="0.2">
      <c r="A406" s="347">
        <f t="shared" ca="1" si="180"/>
        <v>0.1</v>
      </c>
      <c r="B406" s="304">
        <f t="shared" ca="1" si="181"/>
        <v>32.900000000000183</v>
      </c>
      <c r="D406" s="306">
        <f t="shared" ca="1" si="182"/>
        <v>-0.69025190793600244</v>
      </c>
      <c r="E406" s="307">
        <f t="shared" ca="1" si="183"/>
        <v>-5.5857006489561272</v>
      </c>
      <c r="F406" s="304">
        <f t="shared" ca="1" si="184"/>
        <v>5.6281879353978743</v>
      </c>
      <c r="G406" s="306">
        <f t="shared" ca="1" si="185"/>
        <v>12.444790008846885</v>
      </c>
      <c r="H406" s="307">
        <f t="shared" ca="1" si="186"/>
        <v>-77.142351752646377</v>
      </c>
      <c r="I406" s="304">
        <f t="shared" ca="1" si="187"/>
        <v>78.139716100670071</v>
      </c>
      <c r="J406" s="306">
        <f t="shared" ca="1" si="188"/>
        <v>668.41464393303897</v>
      </c>
      <c r="K406" s="307">
        <f t="shared" ca="1" si="189"/>
        <v>2574.5799979823332</v>
      </c>
      <c r="L406" s="304">
        <f t="shared" ca="1" si="174"/>
        <v>2659.9323867788148</v>
      </c>
      <c r="M406" s="306">
        <f t="shared" ca="1" si="190"/>
        <v>-1.4108519310745378</v>
      </c>
      <c r="N406" s="304">
        <f t="shared" ca="1" si="191"/>
        <v>-80.835861168453135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1.7842999999999964</v>
      </c>
      <c r="T406" s="304">
        <f t="shared" ca="1" si="175"/>
        <v>17.503982999999966</v>
      </c>
      <c r="U406" s="311">
        <f t="shared" ca="1" si="176"/>
        <v>0</v>
      </c>
      <c r="V406" s="306">
        <f t="shared" ca="1" si="177"/>
        <v>0.94558301879279749</v>
      </c>
      <c r="W406" s="304">
        <f t="shared" ca="1" si="178"/>
        <v>7.7501542707657576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 t="e">
        <f t="shared" ca="1" si="179"/>
        <v>#N/A</v>
      </c>
      <c r="AG406" s="306">
        <f t="shared" ca="1" si="201"/>
        <v>5.4012820243989763</v>
      </c>
      <c r="AH406" s="304">
        <f t="shared" ca="1" si="202"/>
        <v>-4.2803215654479727</v>
      </c>
    </row>
    <row r="407" spans="1:34" x14ac:dyDescent="0.2">
      <c r="A407" s="347">
        <f t="shared" ca="1" si="180"/>
        <v>0.1</v>
      </c>
      <c r="B407" s="304">
        <f t="shared" ca="1" si="181"/>
        <v>33.000000000000185</v>
      </c>
      <c r="D407" s="306">
        <f t="shared" ca="1" si="182"/>
        <v>-0.69176441183938486</v>
      </c>
      <c r="E407" s="307">
        <f t="shared" ca="1" si="183"/>
        <v>-5.5219136964030602</v>
      </c>
      <c r="F407" s="304">
        <f t="shared" ca="1" si="184"/>
        <v>5.5650758190712191</v>
      </c>
      <c r="G407" s="306">
        <f t="shared" ca="1" si="185"/>
        <v>12.375613567662947</v>
      </c>
      <c r="H407" s="307">
        <f t="shared" ca="1" si="186"/>
        <v>-77.694543122286689</v>
      </c>
      <c r="I407" s="304">
        <f t="shared" ca="1" si="187"/>
        <v>78.673997242780217</v>
      </c>
      <c r="J407" s="306">
        <f t="shared" ca="1" si="188"/>
        <v>669.65566411186444</v>
      </c>
      <c r="K407" s="307">
        <f t="shared" ca="1" si="189"/>
        <v>2566.8381532385865</v>
      </c>
      <c r="L407" s="304">
        <f t="shared" ca="1" si="174"/>
        <v>2652.7526860599687</v>
      </c>
      <c r="M407" s="306">
        <f t="shared" ca="1" si="190"/>
        <v>-1.412837814816827</v>
      </c>
      <c r="N407" s="304">
        <f t="shared" ca="1" si="191"/>
        <v>-80.949643925489951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1.7842999999999964</v>
      </c>
      <c r="T407" s="304">
        <f t="shared" ca="1" si="175"/>
        <v>17.503982999999966</v>
      </c>
      <c r="U407" s="311">
        <f t="shared" ca="1" si="176"/>
        <v>0</v>
      </c>
      <c r="V407" s="306">
        <f t="shared" ca="1" si="177"/>
        <v>0.9463276652789735</v>
      </c>
      <c r="W407" s="304">
        <f t="shared" ca="1" si="178"/>
        <v>7.8626871201305955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>
        <f t="shared" ca="1" si="199"/>
        <v>33.000000000000185</v>
      </c>
      <c r="AD407" s="323">
        <f t="shared" ca="1" si="200"/>
        <v>669.65566411186444</v>
      </c>
      <c r="AE407" s="324" t="e">
        <f t="shared" ca="1" si="179"/>
        <v>#N/A</v>
      </c>
      <c r="AG407" s="306">
        <f t="shared" ca="1" si="201"/>
        <v>5.3412600749283614</v>
      </c>
      <c r="AH407" s="304">
        <f t="shared" ca="1" si="202"/>
        <v>-4.3435264645887868</v>
      </c>
    </row>
    <row r="408" spans="1:34" x14ac:dyDescent="0.2">
      <c r="A408" s="347">
        <f t="shared" ca="1" si="180"/>
        <v>0.1</v>
      </c>
      <c r="B408" s="304">
        <f t="shared" ca="1" si="181"/>
        <v>33.100000000000186</v>
      </c>
      <c r="D408" s="306">
        <f t="shared" ca="1" si="182"/>
        <v>-0.6931682186432363</v>
      </c>
      <c r="E408" s="307">
        <f t="shared" ca="1" si="183"/>
        <v>-5.4582652144942658</v>
      </c>
      <c r="F408" s="304">
        <f t="shared" ca="1" si="184"/>
        <v>5.5021033551811049</v>
      </c>
      <c r="G408" s="306">
        <f t="shared" ca="1" si="185"/>
        <v>12.306296745798624</v>
      </c>
      <c r="H408" s="307">
        <f t="shared" ca="1" si="186"/>
        <v>-78.240369643736116</v>
      </c>
      <c r="I408" s="304">
        <f t="shared" ca="1" si="187"/>
        <v>79.20227510358599</v>
      </c>
      <c r="J408" s="306">
        <f t="shared" ca="1" si="188"/>
        <v>670.8897596275375</v>
      </c>
      <c r="K408" s="307">
        <f t="shared" ca="1" si="189"/>
        <v>2559.0414076002853</v>
      </c>
      <c r="L408" s="304">
        <f t="shared" ca="1" si="174"/>
        <v>2645.5218758093733</v>
      </c>
      <c r="M408" s="306">
        <f t="shared" ca="1" si="190"/>
        <v>-1.4147861655930241</v>
      </c>
      <c r="N408" s="304">
        <f t="shared" ca="1" si="191"/>
        <v>-81.06127620197708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1.7842999999999964</v>
      </c>
      <c r="T408" s="304">
        <f t="shared" ca="1" si="175"/>
        <v>17.503982999999966</v>
      </c>
      <c r="U408" s="311">
        <f t="shared" ca="1" si="176"/>
        <v>0</v>
      </c>
      <c r="V408" s="306">
        <f t="shared" ca="1" si="177"/>
        <v>0.94707810893469924</v>
      </c>
      <c r="W408" s="304">
        <f t="shared" ca="1" si="178"/>
        <v>7.9749530938528999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 t="e">
        <f t="shared" ca="1" si="179"/>
        <v>#N/A</v>
      </c>
      <c r="AG408" s="306">
        <f t="shared" ca="1" si="201"/>
        <v>5.2812753213351931</v>
      </c>
      <c r="AH408" s="304">
        <f t="shared" ca="1" si="202"/>
        <v>-4.4065948103629493</v>
      </c>
    </row>
    <row r="409" spans="1:34" x14ac:dyDescent="0.2">
      <c r="A409" s="347">
        <f t="shared" ca="1" si="180"/>
        <v>0.1</v>
      </c>
      <c r="B409" s="304">
        <f t="shared" ca="1" si="181"/>
        <v>33.200000000000188</v>
      </c>
      <c r="D409" s="306">
        <f t="shared" ca="1" si="182"/>
        <v>-0.69446440071307525</v>
      </c>
      <c r="E409" s="307">
        <f t="shared" ca="1" si="183"/>
        <v>-5.3947683069436208</v>
      </c>
      <c r="F409" s="304">
        <f t="shared" ca="1" si="184"/>
        <v>5.4392835823719574</v>
      </c>
      <c r="G409" s="306">
        <f t="shared" ca="1" si="185"/>
        <v>12.236850305727316</v>
      </c>
      <c r="H409" s="307">
        <f t="shared" ca="1" si="186"/>
        <v>-78.779846474430485</v>
      </c>
      <c r="I409" s="304">
        <f t="shared" ca="1" si="187"/>
        <v>79.72455528844057</v>
      </c>
      <c r="J409" s="306">
        <f t="shared" ca="1" si="188"/>
        <v>672.11691698011384</v>
      </c>
      <c r="K409" s="307">
        <f t="shared" ca="1" si="189"/>
        <v>2551.1903967943772</v>
      </c>
      <c r="L409" s="304">
        <f t="shared" ca="1" si="174"/>
        <v>2638.2406241256131</v>
      </c>
      <c r="M409" s="306">
        <f t="shared" ca="1" si="190"/>
        <v>-1.4166980731631225</v>
      </c>
      <c r="N409" s="304">
        <f t="shared" ca="1" si="191"/>
        <v>-81.170820436562835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1.7842999999999964</v>
      </c>
      <c r="T409" s="304">
        <f t="shared" ca="1" si="175"/>
        <v>17.503982999999966</v>
      </c>
      <c r="U409" s="311">
        <f t="shared" ca="1" si="176"/>
        <v>0</v>
      </c>
      <c r="V409" s="306">
        <f t="shared" ca="1" si="177"/>
        <v>0.94783430000064606</v>
      </c>
      <c r="W409" s="304">
        <f t="shared" ca="1" si="178"/>
        <v>8.0869294926358801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 t="e">
        <f t="shared" ca="1" si="179"/>
        <v>#N/A</v>
      </c>
      <c r="AG409" s="306">
        <f t="shared" ca="1" si="201"/>
        <v>5.2213447270568283</v>
      </c>
      <c r="AH409" s="304">
        <f t="shared" ca="1" si="202"/>
        <v>-4.4695135873187892</v>
      </c>
    </row>
    <row r="410" spans="1:34" x14ac:dyDescent="0.2">
      <c r="A410" s="347">
        <f t="shared" ca="1" si="180"/>
        <v>0.1</v>
      </c>
      <c r="B410" s="304">
        <f t="shared" ca="1" si="181"/>
        <v>33.300000000000189</v>
      </c>
      <c r="D410" s="306">
        <f t="shared" ca="1" si="182"/>
        <v>-0.69565405836698357</v>
      </c>
      <c r="E410" s="307">
        <f t="shared" ca="1" si="183"/>
        <v>-5.3314357822277758</v>
      </c>
      <c r="F410" s="304">
        <f t="shared" ca="1" si="184"/>
        <v>5.376629247859773</v>
      </c>
      <c r="G410" s="306">
        <f t="shared" ca="1" si="185"/>
        <v>12.167284899890618</v>
      </c>
      <c r="H410" s="307">
        <f t="shared" ca="1" si="186"/>
        <v>-79.312990052653262</v>
      </c>
      <c r="I410" s="304">
        <f t="shared" ca="1" si="187"/>
        <v>80.240845041209411</v>
      </c>
      <c r="J410" s="306">
        <f t="shared" ca="1" si="188"/>
        <v>673.33712374039476</v>
      </c>
      <c r="K410" s="307">
        <f t="shared" ca="1" si="189"/>
        <v>2543.285754968023</v>
      </c>
      <c r="L410" s="304">
        <f t="shared" ca="1" si="174"/>
        <v>2630.9095981485671</v>
      </c>
      <c r="M410" s="306">
        <f t="shared" ca="1" si="190"/>
        <v>-1.4185745850095623</v>
      </c>
      <c r="N410" s="304">
        <f t="shared" ca="1" si="191"/>
        <v>-81.278336645570135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1.7842999999999964</v>
      </c>
      <c r="T410" s="304">
        <f t="shared" ca="1" si="175"/>
        <v>17.503982999999966</v>
      </c>
      <c r="U410" s="311">
        <f t="shared" ca="1" si="176"/>
        <v>0</v>
      </c>
      <c r="V410" s="306">
        <f t="shared" ca="1" si="177"/>
        <v>0.94859618879876584</v>
      </c>
      <c r="W410" s="304">
        <f t="shared" ca="1" si="178"/>
        <v>8.198594143526357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 t="e">
        <f t="shared" ca="1" si="179"/>
        <v>#N/A</v>
      </c>
      <c r="AG410" s="306">
        <f t="shared" ca="1" si="201"/>
        <v>5.1614847689849048</v>
      </c>
      <c r="AH410" s="304">
        <f t="shared" ca="1" si="202"/>
        <v>-4.5322700737745309</v>
      </c>
    </row>
    <row r="411" spans="1:34" x14ac:dyDescent="0.2">
      <c r="A411" s="347">
        <f t="shared" ca="1" si="180"/>
        <v>0.1</v>
      </c>
      <c r="B411" s="304">
        <f t="shared" ca="1" si="181"/>
        <v>33.40000000000019</v>
      </c>
      <c r="D411" s="306">
        <f t="shared" ca="1" si="182"/>
        <v>-0.69673831847453149</v>
      </c>
      <c r="E411" s="307">
        <f t="shared" ca="1" si="183"/>
        <v>-5.2682801522984288</v>
      </c>
      <c r="F411" s="304">
        <f t="shared" ca="1" si="184"/>
        <v>5.3141528061895507</v>
      </c>
      <c r="G411" s="306">
        <f t="shared" ca="1" si="185"/>
        <v>12.097611068043165</v>
      </c>
      <c r="H411" s="307">
        <f t="shared" ca="1" si="186"/>
        <v>-79.839818067883101</v>
      </c>
      <c r="I411" s="304">
        <f t="shared" ca="1" si="187"/>
        <v>80.75115319712971</v>
      </c>
      <c r="J411" s="306">
        <f t="shared" ca="1" si="188"/>
        <v>674.55036853879142</v>
      </c>
      <c r="K411" s="307">
        <f t="shared" ca="1" si="189"/>
        <v>2535.3281145619962</v>
      </c>
      <c r="L411" s="304">
        <f t="shared" ca="1" si="174"/>
        <v>2623.5294639443837</v>
      </c>
      <c r="M411" s="306">
        <f t="shared" ca="1" si="190"/>
        <v>-1.4204167083420789</v>
      </c>
      <c r="N411" s="304">
        <f t="shared" ca="1" si="191"/>
        <v>-81.383882537865915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1.7842999999999964</v>
      </c>
      <c r="T411" s="304">
        <f t="shared" ca="1" si="175"/>
        <v>17.503982999999966</v>
      </c>
      <c r="U411" s="311">
        <f t="shared" ca="1" si="176"/>
        <v>0</v>
      </c>
      <c r="V411" s="306">
        <f t="shared" ca="1" si="177"/>
        <v>0.94936372574211292</v>
      </c>
      <c r="W411" s="304">
        <f t="shared" ca="1" si="178"/>
        <v>8.3099254016092736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 t="e">
        <f t="shared" ca="1" si="179"/>
        <v>#N/A</v>
      </c>
      <c r="AG411" s="306">
        <f t="shared" ca="1" si="201"/>
        <v>5.1017114473563554</v>
      </c>
      <c r="AH411" s="304">
        <f t="shared" ca="1" si="202"/>
        <v>-4.5948518430344523</v>
      </c>
    </row>
    <row r="412" spans="1:34" x14ac:dyDescent="0.2">
      <c r="A412" s="347">
        <f t="shared" ca="1" si="180"/>
        <v>0.1</v>
      </c>
      <c r="B412" s="304">
        <f t="shared" ca="1" si="181"/>
        <v>33.500000000000192</v>
      </c>
      <c r="D412" s="306">
        <f t="shared" ca="1" si="182"/>
        <v>-0.69771833307853048</v>
      </c>
      <c r="E412" s="307">
        <f t="shared" ca="1" si="183"/>
        <v>-5.2053136315674999</v>
      </c>
      <c r="F412" s="304">
        <f t="shared" ca="1" si="184"/>
        <v>5.2518664182646839</v>
      </c>
      <c r="G412" s="306">
        <f t="shared" ca="1" si="185"/>
        <v>12.027839234735312</v>
      </c>
      <c r="H412" s="307">
        <f t="shared" ca="1" si="186"/>
        <v>-80.36034943103985</v>
      </c>
      <c r="I412" s="304">
        <f t="shared" ca="1" si="187"/>
        <v>81.255490136577635</v>
      </c>
      <c r="J412" s="306">
        <f t="shared" ca="1" si="188"/>
        <v>675.75664105393037</v>
      </c>
      <c r="K412" s="307">
        <f t="shared" ca="1" si="189"/>
        <v>2527.31810618705</v>
      </c>
      <c r="L412" s="304">
        <f t="shared" ca="1" si="174"/>
        <v>2616.1008863936017</v>
      </c>
      <c r="M412" s="306">
        <f t="shared" ca="1" si="190"/>
        <v>-1.4222254119909858</v>
      </c>
      <c r="N412" s="304">
        <f t="shared" ca="1" si="191"/>
        <v>-81.487513623338188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1.7842999999999964</v>
      </c>
      <c r="T412" s="304">
        <f t="shared" ca="1" si="175"/>
        <v>17.503982999999966</v>
      </c>
      <c r="U412" s="311">
        <f t="shared" ca="1" si="176"/>
        <v>0</v>
      </c>
      <c r="V412" s="306">
        <f t="shared" ca="1" si="177"/>
        <v>0.95013686134446351</v>
      </c>
      <c r="W412" s="304">
        <f t="shared" ca="1" si="178"/>
        <v>8.4209021512378612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 t="e">
        <f t="shared" ca="1" si="179"/>
        <v>#N/A</v>
      </c>
      <c r="AG412" s="306">
        <f t="shared" ca="1" si="201"/>
        <v>5.0420402951776753</v>
      </c>
      <c r="AH412" s="304">
        <f t="shared" ca="1" si="202"/>
        <v>-4.6572467643385584</v>
      </c>
    </row>
    <row r="413" spans="1:34" x14ac:dyDescent="0.2">
      <c r="A413" s="347">
        <f t="shared" ca="1" si="180"/>
        <v>0.1</v>
      </c>
      <c r="B413" s="304">
        <f t="shared" ca="1" si="181"/>
        <v>33.600000000000193</v>
      </c>
      <c r="D413" s="306">
        <f t="shared" ca="1" si="182"/>
        <v>-0.69859527803976829</v>
      </c>
      <c r="E413" s="307">
        <f t="shared" ca="1" si="183"/>
        <v>-5.1425481361585863</v>
      </c>
      <c r="F413" s="304">
        <f t="shared" ca="1" si="184"/>
        <v>5.1897819506418195</v>
      </c>
      <c r="G413" s="306">
        <f t="shared" ca="1" si="185"/>
        <v>11.957979706931335</v>
      </c>
      <c r="H413" s="307">
        <f t="shared" ca="1" si="186"/>
        <v>-80.874604244655714</v>
      </c>
      <c r="I413" s="304">
        <f t="shared" ca="1" si="187"/>
        <v>81.753867739704319</v>
      </c>
      <c r="J413" s="306">
        <f t="shared" ca="1" si="188"/>
        <v>676.95593200101371</v>
      </c>
      <c r="K413" s="307">
        <f t="shared" ca="1" si="189"/>
        <v>2519.2563585032653</v>
      </c>
      <c r="L413" s="304">
        <f t="shared" ca="1" si="174"/>
        <v>2608.6245290824231</v>
      </c>
      <c r="M413" s="306">
        <f t="shared" ca="1" si="190"/>
        <v>-1.4240016281959864</v>
      </c>
      <c r="N413" s="304">
        <f t="shared" ca="1" si="191"/>
        <v>-81.589283315387476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1.7842999999999964</v>
      </c>
      <c r="T413" s="304">
        <f t="shared" ca="1" si="175"/>
        <v>17.503982999999966</v>
      </c>
      <c r="U413" s="311">
        <f t="shared" ca="1" si="176"/>
        <v>0</v>
      </c>
      <c r="V413" s="306">
        <f t="shared" ca="1" si="177"/>
        <v>0.95091554622973218</v>
      </c>
      <c r="W413" s="304">
        <f t="shared" ca="1" si="178"/>
        <v>8.5315038068111519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 t="e">
        <f t="shared" ca="1" si="179"/>
        <v>#N/A</v>
      </c>
      <c r="AG413" s="306">
        <f t="shared" ca="1" si="201"/>
        <v>4.9824863872304856</v>
      </c>
      <c r="AH413" s="304">
        <f t="shared" ca="1" si="202"/>
        <v>-4.7194430035520245</v>
      </c>
    </row>
    <row r="414" spans="1:34" x14ac:dyDescent="0.2">
      <c r="A414" s="347">
        <f t="shared" ca="1" si="180"/>
        <v>0.1</v>
      </c>
      <c r="B414" s="304">
        <f t="shared" ca="1" si="181"/>
        <v>33.700000000000195</v>
      </c>
      <c r="D414" s="306">
        <f t="shared" ca="1" si="182"/>
        <v>-0.69937035170489692</v>
      </c>
      <c r="E414" s="307">
        <f t="shared" ca="1" si="183"/>
        <v>-5.079995283417821</v>
      </c>
      <c r="F414" s="304">
        <f t="shared" ca="1" si="184"/>
        <v>5.1279109750844087</v>
      </c>
      <c r="G414" s="306">
        <f t="shared" ca="1" si="185"/>
        <v>11.888042671760845</v>
      </c>
      <c r="H414" s="307">
        <f t="shared" ca="1" si="186"/>
        <v>-81.382603772997498</v>
      </c>
      <c r="I414" s="304">
        <f t="shared" ca="1" si="187"/>
        <v>82.246299341905427</v>
      </c>
      <c r="J414" s="306">
        <f t="shared" ca="1" si="188"/>
        <v>678.14823311994837</v>
      </c>
      <c r="K414" s="307">
        <f t="shared" ca="1" si="189"/>
        <v>2511.1434981023826</v>
      </c>
      <c r="L414" s="304">
        <f t="shared" ca="1" si="174"/>
        <v>2601.1010541971605</v>
      </c>
      <c r="M414" s="306">
        <f t="shared" ca="1" si="190"/>
        <v>-1.4257462542970991</v>
      </c>
      <c r="N414" s="304">
        <f t="shared" ca="1" si="191"/>
        <v>-81.689243027809596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1.7842999999999964</v>
      </c>
      <c r="T414" s="304">
        <f t="shared" ca="1" si="175"/>
        <v>17.503982999999966</v>
      </c>
      <c r="U414" s="311">
        <f t="shared" ca="1" si="176"/>
        <v>0</v>
      </c>
      <c r="V414" s="306">
        <f t="shared" ca="1" si="177"/>
        <v>0.95169973114118123</v>
      </c>
      <c r="W414" s="304">
        <f t="shared" ca="1" si="178"/>
        <v>8.6417103131105986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 t="e">
        <f t="shared" ca="1" si="179"/>
        <v>#N/A</v>
      </c>
      <c r="AG414" s="306">
        <f t="shared" ca="1" si="201"/>
        <v>4.9230643487017591</v>
      </c>
      <c r="AH414" s="304">
        <f t="shared" ca="1" si="202"/>
        <v>-4.7814290236009462</v>
      </c>
    </row>
    <row r="415" spans="1:34" x14ac:dyDescent="0.2">
      <c r="A415" s="347">
        <f t="shared" ca="1" si="180"/>
        <v>0.1</v>
      </c>
      <c r="B415" s="304">
        <f t="shared" ca="1" si="181"/>
        <v>33.800000000000196</v>
      </c>
      <c r="D415" s="306">
        <f t="shared" ca="1" si="182"/>
        <v>-0.70004477359764417</v>
      </c>
      <c r="E415" s="307">
        <f t="shared" ca="1" si="183"/>
        <v>-5.0176663916772188</v>
      </c>
      <c r="F415" s="304">
        <f t="shared" ca="1" si="184"/>
        <v>5.066264768368157</v>
      </c>
      <c r="G415" s="306">
        <f t="shared" ca="1" si="185"/>
        <v>11.81803819440108</v>
      </c>
      <c r="H415" s="307">
        <f t="shared" ca="1" si="186"/>
        <v>-81.884370412165225</v>
      </c>
      <c r="I415" s="304">
        <f t="shared" ca="1" si="187"/>
        <v>82.732799690092705</v>
      </c>
      <c r="J415" s="306">
        <f t="shared" ca="1" si="188"/>
        <v>679.33353716325644</v>
      </c>
      <c r="K415" s="307">
        <f t="shared" ca="1" si="189"/>
        <v>2502.9801493931245</v>
      </c>
      <c r="L415" s="304">
        <f t="shared" ca="1" si="174"/>
        <v>2593.5311224218553</v>
      </c>
      <c r="M415" s="306">
        <f t="shared" ca="1" si="190"/>
        <v>-1.4274601543338179</v>
      </c>
      <c r="N415" s="304">
        <f t="shared" ca="1" si="191"/>
        <v>-81.787442266420896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1.7842999999999964</v>
      </c>
      <c r="T415" s="304">
        <f t="shared" ca="1" si="175"/>
        <v>17.503982999999966</v>
      </c>
      <c r="U415" s="311">
        <f t="shared" ca="1" si="176"/>
        <v>0</v>
      </c>
      <c r="V415" s="306">
        <f t="shared" ca="1" si="177"/>
        <v>0.95248936695042463</v>
      </c>
      <c r="W415" s="304">
        <f t="shared" ca="1" si="178"/>
        <v>8.7515021452078461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 t="e">
        <f t="shared" ca="1" si="179"/>
        <v>#N/A</v>
      </c>
      <c r="AG415" s="306">
        <f t="shared" ca="1" si="201"/>
        <v>4.8637883634779175</v>
      </c>
      <c r="AH415" s="304">
        <f t="shared" ca="1" si="202"/>
        <v>-4.8431935846609964</v>
      </c>
    </row>
    <row r="416" spans="1:34" x14ac:dyDescent="0.2">
      <c r="A416" s="347">
        <f t="shared" ca="1" si="180"/>
        <v>0.1</v>
      </c>
      <c r="B416" s="304">
        <f t="shared" ca="1" si="181"/>
        <v>33.900000000000198</v>
      </c>
      <c r="D416" s="306">
        <f t="shared" ca="1" si="182"/>
        <v>-0.70061978313354623</v>
      </c>
      <c r="E416" s="307">
        <f t="shared" ca="1" si="183"/>
        <v>-4.9555724802634602</v>
      </c>
      <c r="F416" s="304">
        <f t="shared" ca="1" si="184"/>
        <v>5.0048543123314424</v>
      </c>
      <c r="G416" s="306">
        <f t="shared" ca="1" si="185"/>
        <v>11.747976216087725</v>
      </c>
      <c r="H416" s="307">
        <f t="shared" ca="1" si="186"/>
        <v>-82.379927660191569</v>
      </c>
      <c r="I416" s="304">
        <f t="shared" ca="1" si="187"/>
        <v>83.213384899739296</v>
      </c>
      <c r="J416" s="306">
        <f t="shared" ca="1" si="188"/>
        <v>680.51183788378091</v>
      </c>
      <c r="K416" s="307">
        <f t="shared" ca="1" si="189"/>
        <v>2494.7669344895066</v>
      </c>
      <c r="L416" s="304">
        <f t="shared" ca="1" si="174"/>
        <v>2585.9153928390874</v>
      </c>
      <c r="M416" s="306">
        <f t="shared" ca="1" si="190"/>
        <v>-1.4291441605582051</v>
      </c>
      <c r="N416" s="304">
        <f t="shared" ca="1" si="191"/>
        <v>-81.883928715752049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1.7842999999999964</v>
      </c>
      <c r="T416" s="304">
        <f t="shared" ca="1" si="175"/>
        <v>17.503982999999966</v>
      </c>
      <c r="U416" s="311">
        <f t="shared" ca="1" si="176"/>
        <v>0</v>
      </c>
      <c r="V416" s="306">
        <f t="shared" ca="1" si="177"/>
        <v>0.95328440466622688</v>
      </c>
      <c r="W416" s="304">
        <f t="shared" ca="1" si="178"/>
        <v>8.8608603079558605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 t="e">
        <f t="shared" ca="1" si="179"/>
        <v>#N/A</v>
      </c>
      <c r="AG416" s="306">
        <f t="shared" ca="1" si="201"/>
        <v>4.8046721821381988</v>
      </c>
      <c r="AH416" s="304">
        <f t="shared" ca="1" si="202"/>
        <v>-4.9047257441057353</v>
      </c>
    </row>
    <row r="417" spans="1:34" x14ac:dyDescent="0.2">
      <c r="A417" s="347">
        <f t="shared" ca="1" si="180"/>
        <v>0.1</v>
      </c>
      <c r="B417" s="304">
        <f t="shared" ca="1" si="181"/>
        <v>34.000000000000199</v>
      </c>
      <c r="D417" s="306">
        <f t="shared" ca="1" si="182"/>
        <v>-0.70109663835835967</v>
      </c>
      <c r="E417" s="307">
        <f t="shared" ca="1" si="183"/>
        <v>-4.8937242697449888</v>
      </c>
      <c r="F417" s="304">
        <f t="shared" ca="1" si="184"/>
        <v>4.9436902941637149</v>
      </c>
      <c r="G417" s="306">
        <f t="shared" ca="1" si="185"/>
        <v>11.677866552251889</v>
      </c>
      <c r="H417" s="307">
        <f t="shared" ca="1" si="186"/>
        <v>-82.869300087166067</v>
      </c>
      <c r="I417" s="304">
        <f t="shared" ca="1" si="187"/>
        <v>83.688072412674103</v>
      </c>
      <c r="J417" s="306">
        <f t="shared" ca="1" si="188"/>
        <v>681.68313002219793</v>
      </c>
      <c r="K417" s="307">
        <f t="shared" ca="1" si="189"/>
        <v>2486.5044731021389</v>
      </c>
      <c r="L417" s="304">
        <f t="shared" ca="1" si="174"/>
        <v>2578.2545228339668</v>
      </c>
      <c r="M417" s="306">
        <f t="shared" ca="1" si="190"/>
        <v>-1.4307990748672095</v>
      </c>
      <c r="N417" s="304">
        <f t="shared" ca="1" si="191"/>
        <v>-81.978748321113798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1.7842999999999964</v>
      </c>
      <c r="T417" s="304">
        <f t="shared" ca="1" si="175"/>
        <v>17.503982999999966</v>
      </c>
      <c r="U417" s="311">
        <f t="shared" ca="1" si="176"/>
        <v>0</v>
      </c>
      <c r="V417" s="306">
        <f t="shared" ca="1" si="177"/>
        <v>0.95408479544309421</v>
      </c>
      <c r="W417" s="304">
        <f t="shared" ca="1" si="178"/>
        <v>8.9697663350758976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>
        <f t="shared" ca="1" si="199"/>
        <v>34.000000000000199</v>
      </c>
      <c r="AD417" s="323">
        <f t="shared" ca="1" si="200"/>
        <v>681.68313002219793</v>
      </c>
      <c r="AE417" s="324" t="e">
        <f t="shared" ca="1" si="179"/>
        <v>#N/A</v>
      </c>
      <c r="AG417" s="306">
        <f t="shared" ca="1" si="201"/>
        <v>4.7457291296792343</v>
      </c>
      <c r="AH417" s="304">
        <f t="shared" ca="1" si="202"/>
        <v>-4.9660148562214195</v>
      </c>
    </row>
    <row r="418" spans="1:34" x14ac:dyDescent="0.2">
      <c r="A418" s="347">
        <f t="shared" ca="1" si="180"/>
        <v>0.1</v>
      </c>
      <c r="B418" s="304">
        <f t="shared" ca="1" si="181"/>
        <v>34.1000000000002</v>
      </c>
      <c r="D418" s="306">
        <f t="shared" ca="1" si="182"/>
        <v>-0.70147661471037337</v>
      </c>
      <c r="E418" s="307">
        <f t="shared" ca="1" si="183"/>
        <v>-4.8321321824101773</v>
      </c>
      <c r="F418" s="304">
        <f t="shared" ca="1" si="184"/>
        <v>4.8827831069247454</v>
      </c>
      <c r="G418" s="306">
        <f t="shared" ca="1" si="185"/>
        <v>11.607718890780852</v>
      </c>
      <c r="H418" s="307">
        <f t="shared" ca="1" si="186"/>
        <v>-83.352513305407086</v>
      </c>
      <c r="I418" s="304">
        <f t="shared" ca="1" si="187"/>
        <v>84.156880955602531</v>
      </c>
      <c r="J418" s="306">
        <f t="shared" ca="1" si="188"/>
        <v>682.84740929434952</v>
      </c>
      <c r="K418" s="307">
        <f t="shared" ca="1" si="189"/>
        <v>2478.1933824325101</v>
      </c>
      <c r="L418" s="304">
        <f t="shared" ca="1" si="174"/>
        <v>2570.5491680013224</v>
      </c>
      <c r="M418" s="306">
        <f t="shared" ca="1" si="190"/>
        <v>-1.4324256701591487</v>
      </c>
      <c r="N418" s="304">
        <f t="shared" ca="1" si="191"/>
        <v>-82.071945366317763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1.7842999999999964</v>
      </c>
      <c r="T418" s="304">
        <f t="shared" ca="1" si="175"/>
        <v>17.503982999999966</v>
      </c>
      <c r="U418" s="311">
        <f t="shared" ca="1" si="176"/>
        <v>0</v>
      </c>
      <c r="V418" s="306">
        <f t="shared" ca="1" si="177"/>
        <v>0.95489049058965769</v>
      </c>
      <c r="W418" s="304">
        <f t="shared" ca="1" si="178"/>
        <v>9.0782022878527133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 t="e">
        <f t="shared" ca="1" si="179"/>
        <v>#N/A</v>
      </c>
      <c r="AG418" s="306">
        <f t="shared" ca="1" si="201"/>
        <v>4.6869721129995261</v>
      </c>
      <c r="AH418" s="304">
        <f t="shared" ca="1" si="202"/>
        <v>-5.0270505716952956</v>
      </c>
    </row>
    <row r="419" spans="1:34" x14ac:dyDescent="0.2">
      <c r="A419" s="347">
        <f t="shared" ca="1" si="180"/>
        <v>0.1</v>
      </c>
      <c r="B419" s="304">
        <f t="shared" ca="1" si="181"/>
        <v>34.200000000000202</v>
      </c>
      <c r="D419" s="306">
        <f t="shared" ca="1" si="182"/>
        <v>-0.70176100380674789</v>
      </c>
      <c r="E419" s="307">
        <f t="shared" ca="1" si="183"/>
        <v>-4.7708063429693457</v>
      </c>
      <c r="F419" s="304">
        <f t="shared" ca="1" si="184"/>
        <v>4.8221428502876602</v>
      </c>
      <c r="G419" s="306">
        <f t="shared" ca="1" si="185"/>
        <v>11.537542790400177</v>
      </c>
      <c r="H419" s="307">
        <f t="shared" ca="1" si="186"/>
        <v>-83.829593939704026</v>
      </c>
      <c r="I419" s="304">
        <f t="shared" ca="1" si="187"/>
        <v>84.619830499333773</v>
      </c>
      <c r="J419" s="306">
        <f t="shared" ca="1" si="188"/>
        <v>684.0046723784086</v>
      </c>
      <c r="K419" s="307">
        <f t="shared" ca="1" si="189"/>
        <v>2469.8342770702548</v>
      </c>
      <c r="L419" s="304">
        <f t="shared" ca="1" si="174"/>
        <v>2562.7999820560794</v>
      </c>
      <c r="M419" s="306">
        <f t="shared" ca="1" si="190"/>
        <v>-1.4340246916189467</v>
      </c>
      <c r="N419" s="304">
        <f t="shared" ca="1" si="191"/>
        <v>-82.163562547315038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1.7842999999999964</v>
      </c>
      <c r="T419" s="304">
        <f t="shared" ca="1" si="175"/>
        <v>17.503982999999966</v>
      </c>
      <c r="U419" s="311">
        <f t="shared" ca="1" si="176"/>
        <v>0</v>
      </c>
      <c r="V419" s="306">
        <f t="shared" ca="1" si="177"/>
        <v>0.95570144157684911</v>
      </c>
      <c r="W419" s="304">
        <f t="shared" ca="1" si="178"/>
        <v>9.1861507534507609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 t="e">
        <f t="shared" ca="1" si="179"/>
        <v>#N/A</v>
      </c>
      <c r="AG419" s="306">
        <f t="shared" ca="1" si="201"/>
        <v>4.6284136281697741</v>
      </c>
      <c r="AH419" s="304">
        <f t="shared" ca="1" si="202"/>
        <v>-5.0878228368843423</v>
      </c>
    </row>
    <row r="420" spans="1:34" x14ac:dyDescent="0.2">
      <c r="A420" s="347">
        <f t="shared" ca="1" si="180"/>
        <v>0.1</v>
      </c>
      <c r="B420" s="304">
        <f t="shared" ca="1" si="181"/>
        <v>34.300000000000203</v>
      </c>
      <c r="D420" s="306">
        <f t="shared" ca="1" si="182"/>
        <v>-0.70195111225409157</v>
      </c>
      <c r="E420" s="307">
        <f t="shared" ca="1" si="183"/>
        <v>-4.7097565794732734</v>
      </c>
      <c r="F420" s="304">
        <f t="shared" ca="1" si="184"/>
        <v>4.7617793314985262</v>
      </c>
      <c r="G420" s="306">
        <f t="shared" ca="1" si="185"/>
        <v>11.467347679174768</v>
      </c>
      <c r="H420" s="307">
        <f t="shared" ca="1" si="186"/>
        <v>-84.300569597651346</v>
      </c>
      <c r="I420" s="304">
        <f t="shared" ca="1" si="187"/>
        <v>85.076942218697155</v>
      </c>
      <c r="J420" s="306">
        <f t="shared" ca="1" si="188"/>
        <v>685.1549169018873</v>
      </c>
      <c r="K420" s="307">
        <f t="shared" ca="1" si="189"/>
        <v>2461.4277688933871</v>
      </c>
      <c r="L420" s="304">
        <f t="shared" ca="1" si="174"/>
        <v>2555.0076167468287</v>
      </c>
      <c r="M420" s="306">
        <f t="shared" ca="1" si="190"/>
        <v>-1.4355968579364125</v>
      </c>
      <c r="N420" s="304">
        <f t="shared" ca="1" si="191"/>
        <v>-82.253641041998449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1.7842999999999964</v>
      </c>
      <c r="T420" s="304">
        <f t="shared" ca="1" si="175"/>
        <v>17.503982999999966</v>
      </c>
      <c r="U420" s="311">
        <f t="shared" ca="1" si="176"/>
        <v>0</v>
      </c>
      <c r="V420" s="306">
        <f t="shared" ca="1" si="177"/>
        <v>0.95651760004587172</v>
      </c>
      <c r="W420" s="304">
        <f t="shared" ca="1" si="178"/>
        <v>9.2935948428641293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 t="e">
        <f t="shared" ca="1" si="179"/>
        <v>#N/A</v>
      </c>
      <c r="AG420" s="306">
        <f t="shared" ca="1" si="201"/>
        <v>4.5700657675122383</v>
      </c>
      <c r="AH420" s="304">
        <f t="shared" ca="1" si="202"/>
        <v>-5.148321892871591</v>
      </c>
    </row>
    <row r="421" spans="1:34" x14ac:dyDescent="0.2">
      <c r="A421" s="347">
        <f t="shared" ca="1" si="180"/>
        <v>0.1</v>
      </c>
      <c r="B421" s="304">
        <f t="shared" ca="1" si="181"/>
        <v>34.400000000000205</v>
      </c>
      <c r="D421" s="306">
        <f t="shared" ca="1" si="182"/>
        <v>-0.70204826048341185</v>
      </c>
      <c r="E421" s="307">
        <f t="shared" ca="1" si="183"/>
        <v>-4.6489924244408227</v>
      </c>
      <c r="F421" s="304">
        <f t="shared" ca="1" si="184"/>
        <v>4.7017020665452574</v>
      </c>
      <c r="G421" s="306">
        <f t="shared" ca="1" si="185"/>
        <v>11.397142853126427</v>
      </c>
      <c r="H421" s="307">
        <f t="shared" ca="1" si="186"/>
        <v>-84.765468840095423</v>
      </c>
      <c r="I421" s="304">
        <f t="shared" ca="1" si="187"/>
        <v>85.528238453131721</v>
      </c>
      <c r="J421" s="306">
        <f t="shared" ca="1" si="188"/>
        <v>686.29814142850239</v>
      </c>
      <c r="K421" s="307">
        <f t="shared" ca="1" si="189"/>
        <v>2452.9744669714996</v>
      </c>
      <c r="L421" s="304">
        <f t="shared" ca="1" si="174"/>
        <v>2547.1727217725793</v>
      </c>
      <c r="M421" s="306">
        <f t="shared" ca="1" si="190"/>
        <v>-1.4371428624615523</v>
      </c>
      <c r="N421" s="304">
        <f t="shared" ca="1" si="191"/>
        <v>-82.342220576397096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1.7842999999999964</v>
      </c>
      <c r="T421" s="304">
        <f t="shared" ca="1" si="175"/>
        <v>17.503982999999966</v>
      </c>
      <c r="U421" s="311">
        <f t="shared" ca="1" si="176"/>
        <v>0</v>
      </c>
      <c r="V421" s="306">
        <f t="shared" ca="1" si="177"/>
        <v>0.95733891781596159</v>
      </c>
      <c r="W421" s="304">
        <f t="shared" ca="1" si="178"/>
        <v>9.4005181885129492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 t="e">
        <f t="shared" ca="1" si="179"/>
        <v>#N/A</v>
      </c>
      <c r="AG421" s="306">
        <f t="shared" ca="1" si="201"/>
        <v>4.5119402265099735</v>
      </c>
      <c r="AH421" s="304">
        <f t="shared" ca="1" si="202"/>
        <v>-5.2085382743171822</v>
      </c>
    </row>
    <row r="422" spans="1:34" x14ac:dyDescent="0.2">
      <c r="A422" s="347">
        <f t="shared" ca="1" si="180"/>
        <v>0.1</v>
      </c>
      <c r="B422" s="304">
        <f t="shared" ca="1" si="181"/>
        <v>34.500000000000206</v>
      </c>
      <c r="D422" s="306">
        <f t="shared" ca="1" si="182"/>
        <v>-0.70205378160959031</v>
      </c>
      <c r="E422" s="307">
        <f t="shared" ca="1" si="183"/>
        <v>-4.5885231161883402</v>
      </c>
      <c r="F422" s="304">
        <f t="shared" ca="1" si="184"/>
        <v>4.6419202815286571</v>
      </c>
      <c r="G422" s="306">
        <f t="shared" ca="1" si="185"/>
        <v>11.326937474965469</v>
      </c>
      <c r="H422" s="307">
        <f t="shared" ca="1" si="186"/>
        <v>-85.22432115171425</v>
      </c>
      <c r="I422" s="304">
        <f t="shared" ca="1" si="187"/>
        <v>85.973742667934999</v>
      </c>
      <c r="J422" s="306">
        <f t="shared" ca="1" si="188"/>
        <v>687.43434544490697</v>
      </c>
      <c r="K422" s="307">
        <f t="shared" ca="1" si="189"/>
        <v>2444.4749774719089</v>
      </c>
      <c r="L422" s="304">
        <f t="shared" ca="1" si="174"/>
        <v>2539.295944702696</v>
      </c>
      <c r="M422" s="306">
        <f t="shared" ca="1" si="190"/>
        <v>-1.4386633743006463</v>
      </c>
      <c r="N422" s="304">
        <f t="shared" ca="1" si="191"/>
        <v>-82.429339487476852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1.7842999999999964</v>
      </c>
      <c r="T422" s="304">
        <f t="shared" ca="1" si="175"/>
        <v>17.503982999999966</v>
      </c>
      <c r="U422" s="311">
        <f t="shared" ca="1" si="176"/>
        <v>0</v>
      </c>
      <c r="V422" s="306">
        <f t="shared" ca="1" si="177"/>
        <v>0.95816534689194333</v>
      </c>
      <c r="W422" s="304">
        <f t="shared" ca="1" si="178"/>
        <v>9.506904941499192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 t="e">
        <f t="shared" ca="1" si="179"/>
        <v>#N/A</v>
      </c>
      <c r="AG422" s="306">
        <f t="shared" ca="1" si="201"/>
        <v>4.4540483105646071</v>
      </c>
      <c r="AH422" s="304">
        <f t="shared" ca="1" si="202"/>
        <v>-5.2684628081112859</v>
      </c>
    </row>
    <row r="423" spans="1:34" x14ac:dyDescent="0.2">
      <c r="A423" s="347">
        <f t="shared" ca="1" si="180"/>
        <v>0.1</v>
      </c>
      <c r="B423" s="304">
        <f t="shared" ca="1" si="181"/>
        <v>34.600000000000207</v>
      </c>
      <c r="D423" s="306">
        <f t="shared" ca="1" si="182"/>
        <v>-0.70196902031551467</v>
      </c>
      <c r="E423" s="307">
        <f t="shared" ca="1" si="183"/>
        <v>-4.5283576003533987</v>
      </c>
      <c r="F423" s="304">
        <f t="shared" ca="1" si="184"/>
        <v>4.5824429142282961</v>
      </c>
      <c r="G423" s="306">
        <f t="shared" ca="1" si="185"/>
        <v>11.256740572933918</v>
      </c>
      <c r="H423" s="307">
        <f t="shared" ca="1" si="186"/>
        <v>-85.677156911749591</v>
      </c>
      <c r="I423" s="304">
        <f t="shared" ca="1" si="187"/>
        <v>86.413479416158779</v>
      </c>
      <c r="J423" s="306">
        <f t="shared" ca="1" si="188"/>
        <v>688.56352934730194</v>
      </c>
      <c r="K423" s="307">
        <f t="shared" ca="1" si="189"/>
        <v>2435.9299035687359</v>
      </c>
      <c r="L423" s="304">
        <f t="shared" ca="1" si="174"/>
        <v>2531.3779309000079</v>
      </c>
      <c r="M423" s="306">
        <f t="shared" ca="1" si="190"/>
        <v>-1.4401590393565658</v>
      </c>
      <c r="N423" s="304">
        <f t="shared" ca="1" si="191"/>
        <v>-82.515034782746241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1.7842999999999964</v>
      </c>
      <c r="T423" s="304">
        <f t="shared" ca="1" si="175"/>
        <v>17.503982999999966</v>
      </c>
      <c r="U423" s="311">
        <f t="shared" ca="1" si="176"/>
        <v>0</v>
      </c>
      <c r="V423" s="306">
        <f t="shared" ca="1" si="177"/>
        <v>0.95899683947157877</v>
      </c>
      <c r="W423" s="304">
        <f t="shared" ca="1" si="178"/>
        <v>9.6127397685346399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 t="e">
        <f t="shared" ca="1" si="179"/>
        <v>#N/A</v>
      </c>
      <c r="AG423" s="306">
        <f t="shared" ca="1" si="201"/>
        <v>4.3964009416193299</v>
      </c>
      <c r="AH423" s="304">
        <f t="shared" ca="1" si="202"/>
        <v>-5.3280866118361327</v>
      </c>
    </row>
    <row r="424" spans="1:34" x14ac:dyDescent="0.2">
      <c r="A424" s="347">
        <f t="shared" ca="1" si="180"/>
        <v>0.1</v>
      </c>
      <c r="B424" s="304">
        <f t="shared" ca="1" si="181"/>
        <v>34.700000000000209</v>
      </c>
      <c r="D424" s="306">
        <f t="shared" ca="1" si="182"/>
        <v>-0.70179533176097864</v>
      </c>
      <c r="E424" s="307">
        <f t="shared" ca="1" si="183"/>
        <v>-4.468504531605527</v>
      </c>
      <c r="F424" s="304">
        <f t="shared" ca="1" si="184"/>
        <v>4.523278615856051</v>
      </c>
      <c r="G424" s="306">
        <f t="shared" ca="1" si="185"/>
        <v>11.186561039757819</v>
      </c>
      <c r="H424" s="307">
        <f t="shared" ca="1" si="186"/>
        <v>-86.124007364910142</v>
      </c>
      <c r="I424" s="304">
        <f t="shared" ca="1" si="187"/>
        <v>86.847474301140878</v>
      </c>
      <c r="J424" s="306">
        <f t="shared" ca="1" si="188"/>
        <v>689.68569442793648</v>
      </c>
      <c r="K424" s="307">
        <f t="shared" ca="1" si="189"/>
        <v>2427.339845354903</v>
      </c>
      <c r="L424" s="304">
        <f t="shared" ca="1" si="174"/>
        <v>2523.4193234470781</v>
      </c>
      <c r="M424" s="306">
        <f t="shared" ca="1" si="190"/>
        <v>-1.4416304813165832</v>
      </c>
      <c r="N424" s="304">
        <f t="shared" ca="1" si="191"/>
        <v>-82.599342196853698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1.7842999999999964</v>
      </c>
      <c r="T424" s="304">
        <f t="shared" ca="1" si="175"/>
        <v>17.503982999999966</v>
      </c>
      <c r="U424" s="311">
        <f t="shared" ca="1" si="176"/>
        <v>0</v>
      </c>
      <c r="V424" s="306">
        <f t="shared" ca="1" si="177"/>
        <v>0.9598333479527118</v>
      </c>
      <c r="W424" s="304">
        <f t="shared" ca="1" si="178"/>
        <v>9.7180078485540342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 t="e">
        <f t="shared" ca="1" si="179"/>
        <v>#N/A</v>
      </c>
      <c r="AG424" s="306">
        <f t="shared" ca="1" si="201"/>
        <v>4.339008664661967</v>
      </c>
      <c r="AH424" s="304">
        <f t="shared" ca="1" si="202"/>
        <v>-5.3874010920443078</v>
      </c>
    </row>
    <row r="425" spans="1:34" x14ac:dyDescent="0.2">
      <c r="A425" s="347">
        <f t="shared" ca="1" si="180"/>
        <v>0.1</v>
      </c>
      <c r="B425" s="304">
        <f t="shared" ca="1" si="181"/>
        <v>34.80000000000021</v>
      </c>
      <c r="D425" s="306">
        <f t="shared" ca="1" si="182"/>
        <v>-0.70153408051646837</v>
      </c>
      <c r="E425" s="307">
        <f t="shared" ca="1" si="183"/>
        <v>-4.4089722755364509</v>
      </c>
      <c r="F425" s="304">
        <f t="shared" ca="1" si="184"/>
        <v>4.4644357529899743</v>
      </c>
      <c r="G425" s="306">
        <f t="shared" ca="1" si="185"/>
        <v>11.116407631706172</v>
      </c>
      <c r="H425" s="307">
        <f t="shared" ca="1" si="186"/>
        <v>-86.56490459246379</v>
      </c>
      <c r="I425" s="304">
        <f t="shared" ca="1" si="187"/>
        <v>87.275753939663076</v>
      </c>
      <c r="J425" s="306">
        <f t="shared" ca="1" si="188"/>
        <v>690.80084286150964</v>
      </c>
      <c r="K425" s="307">
        <f t="shared" ca="1" si="189"/>
        <v>2418.7053997570342</v>
      </c>
      <c r="L425" s="304">
        <f t="shared" ca="1" si="174"/>
        <v>2515.4207630756346</v>
      </c>
      <c r="M425" s="306">
        <f t="shared" ca="1" si="190"/>
        <v>-1.4430783025907139</v>
      </c>
      <c r="N425" s="304">
        <f t="shared" ca="1" si="191"/>
        <v>-82.682296245350642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1.7842999999999964</v>
      </c>
      <c r="T425" s="304">
        <f t="shared" ca="1" si="175"/>
        <v>17.503982999999966</v>
      </c>
      <c r="U425" s="311">
        <f t="shared" ca="1" si="176"/>
        <v>0</v>
      </c>
      <c r="V425" s="306">
        <f t="shared" ca="1" si="177"/>
        <v>0.96067482494020595</v>
      </c>
      <c r="W425" s="304">
        <f t="shared" ca="1" si="178"/>
        <v>9.8226948690260691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 t="e">
        <f t="shared" ca="1" si="179"/>
        <v>#N/A</v>
      </c>
      <c r="AG425" s="306">
        <f t="shared" ca="1" si="201"/>
        <v>4.2818816541212064</v>
      </c>
      <c r="AH425" s="304">
        <f t="shared" ca="1" si="202"/>
        <v>-5.4463979423606199</v>
      </c>
    </row>
    <row r="426" spans="1:34" x14ac:dyDescent="0.2">
      <c r="A426" s="347">
        <f t="shared" ca="1" si="180"/>
        <v>0.1</v>
      </c>
      <c r="B426" s="304">
        <f t="shared" ca="1" si="181"/>
        <v>34.900000000000212</v>
      </c>
      <c r="D426" s="306">
        <f t="shared" ca="1" si="182"/>
        <v>-0.70118663952188753</v>
      </c>
      <c r="E426" s="307">
        <f t="shared" ca="1" si="183"/>
        <v>-4.3497689107226067</v>
      </c>
      <c r="F426" s="304">
        <f t="shared" ca="1" si="184"/>
        <v>4.4059224096814198</v>
      </c>
      <c r="G426" s="306">
        <f t="shared" ca="1" si="185"/>
        <v>11.046288967753984</v>
      </c>
      <c r="H426" s="307">
        <f t="shared" ca="1" si="186"/>
        <v>-86.999881483536058</v>
      </c>
      <c r="I426" s="304">
        <f t="shared" ca="1" si="187"/>
        <v>87.698345925726798</v>
      </c>
      <c r="J426" s="306">
        <f t="shared" ca="1" si="188"/>
        <v>691.90897769148262</v>
      </c>
      <c r="K426" s="307">
        <f t="shared" ca="1" si="189"/>
        <v>2410.027160453234</v>
      </c>
      <c r="L426" s="304">
        <f t="shared" ca="1" si="174"/>
        <v>2507.3828880991332</v>
      </c>
      <c r="M426" s="306">
        <f t="shared" ca="1" si="190"/>
        <v>-1.4445030852034264</v>
      </c>
      <c r="N426" s="304">
        <f t="shared" ca="1" si="191"/>
        <v>-82.763930275782684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1.7842999999999964</v>
      </c>
      <c r="T426" s="304">
        <f t="shared" ca="1" si="175"/>
        <v>17.503982999999966</v>
      </c>
      <c r="U426" s="311">
        <f t="shared" ca="1" si="176"/>
        <v>0</v>
      </c>
      <c r="V426" s="306">
        <f t="shared" ca="1" si="177"/>
        <v>0.96152122325268052</v>
      </c>
      <c r="W426" s="304">
        <f t="shared" ca="1" si="178"/>
        <v>9.9267870219752155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 t="e">
        <f t="shared" ca="1" si="179"/>
        <v>#N/A</v>
      </c>
      <c r="AG426" s="306">
        <f t="shared" ca="1" si="201"/>
        <v>4.2250297201678872</v>
      </c>
      <c r="AH426" s="304">
        <f t="shared" ca="1" si="202"/>
        <v>-5.5050691414146105</v>
      </c>
    </row>
    <row r="427" spans="1:34" x14ac:dyDescent="0.2">
      <c r="A427" s="347">
        <f t="shared" ca="1" si="180"/>
        <v>0.1</v>
      </c>
      <c r="B427" s="304">
        <f t="shared" ca="1" si="181"/>
        <v>35.000000000000213</v>
      </c>
      <c r="D427" s="306">
        <f t="shared" ca="1" si="182"/>
        <v>-0.7007543890703205</v>
      </c>
      <c r="E427" s="307">
        <f t="shared" ca="1" si="183"/>
        <v>-4.2909022309524509</v>
      </c>
      <c r="F427" s="304">
        <f t="shared" ca="1" si="184"/>
        <v>4.3477463897281359</v>
      </c>
      <c r="G427" s="306">
        <f t="shared" ca="1" si="185"/>
        <v>10.976213528846952</v>
      </c>
      <c r="H427" s="307">
        <f t="shared" ca="1" si="186"/>
        <v>-87.428971706631302</v>
      </c>
      <c r="I427" s="304">
        <f t="shared" ca="1" si="187"/>
        <v>88.115278794938732</v>
      </c>
      <c r="J427" s="306">
        <f t="shared" ca="1" si="188"/>
        <v>693.01010281631261</v>
      </c>
      <c r="K427" s="307">
        <f t="shared" ca="1" si="189"/>
        <v>2401.3057177937258</v>
      </c>
      <c r="L427" s="304">
        <f t="shared" ca="1" si="174"/>
        <v>2499.3063343484564</v>
      </c>
      <c r="M427" s="306">
        <f t="shared" ca="1" si="190"/>
        <v>-1.4459053916413842</v>
      </c>
      <c r="N427" s="304">
        <f t="shared" ca="1" si="191"/>
        <v>-82.844276516261701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1.7842999999999964</v>
      </c>
      <c r="T427" s="304">
        <f t="shared" ca="1" si="175"/>
        <v>17.503982999999966</v>
      </c>
      <c r="U427" s="311">
        <f t="shared" ca="1" si="176"/>
        <v>0</v>
      </c>
      <c r="V427" s="306">
        <f t="shared" ca="1" si="177"/>
        <v>0.96237249592904295</v>
      </c>
      <c r="W427" s="304">
        <f t="shared" ca="1" si="178"/>
        <v>10.030270999726968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>
        <f t="shared" ca="1" si="199"/>
        <v>35.000000000000213</v>
      </c>
      <c r="AD427" s="323">
        <f t="shared" ca="1" si="200"/>
        <v>693.01010281631261</v>
      </c>
      <c r="AE427" s="324" t="e">
        <f t="shared" ca="1" si="179"/>
        <v>#N/A</v>
      </c>
      <c r="AG427" s="306">
        <f t="shared" ca="1" si="201"/>
        <v>4.1684623149314133</v>
      </c>
      <c r="AH427" s="304">
        <f t="shared" ca="1" si="202"/>
        <v>-5.5634069506110153</v>
      </c>
    </row>
    <row r="428" spans="1:34" x14ac:dyDescent="0.2">
      <c r="A428" s="347">
        <f t="shared" ca="1" si="180"/>
        <v>0.1</v>
      </c>
      <c r="B428" s="304">
        <f t="shared" ca="1" si="181"/>
        <v>35.100000000000215</v>
      </c>
      <c r="D428" s="306">
        <f t="shared" ca="1" si="182"/>
        <v>-0.70023871581684294</v>
      </c>
      <c r="E428" s="307">
        <f t="shared" ca="1" si="183"/>
        <v>-4.2323797476113896</v>
      </c>
      <c r="F428" s="304">
        <f t="shared" ca="1" si="184"/>
        <v>4.2899152191063017</v>
      </c>
      <c r="G428" s="306">
        <f t="shared" ca="1" si="185"/>
        <v>10.906189657265267</v>
      </c>
      <c r="H428" s="307">
        <f t="shared" ca="1" si="186"/>
        <v>-87.852209681392438</v>
      </c>
      <c r="I428" s="304">
        <f t="shared" ca="1" si="187"/>
        <v>88.526581989499533</v>
      </c>
      <c r="J428" s="306">
        <f t="shared" ca="1" si="188"/>
        <v>694.1042229756182</v>
      </c>
      <c r="K428" s="307">
        <f t="shared" ca="1" si="189"/>
        <v>2392.5416587243244</v>
      </c>
      <c r="L428" s="304">
        <f t="shared" ca="1" si="174"/>
        <v>2491.1917351107136</v>
      </c>
      <c r="M428" s="306">
        <f t="shared" ca="1" si="190"/>
        <v>-1.4472857656596989</v>
      </c>
      <c r="N428" s="304">
        <f t="shared" ca="1" si="191"/>
        <v>-82.923366121660635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1.7842999999999964</v>
      </c>
      <c r="T428" s="304">
        <f t="shared" ca="1" si="175"/>
        <v>17.503982999999966</v>
      </c>
      <c r="U428" s="311">
        <f t="shared" ca="1" si="176"/>
        <v>0</v>
      </c>
      <c r="V428" s="306">
        <f t="shared" ca="1" si="177"/>
        <v>0.9632285962348176</v>
      </c>
      <c r="W428" s="304">
        <f t="shared" ca="1" si="178"/>
        <v>10.133133990389252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 t="e">
        <f t="shared" ca="1" si="179"/>
        <v>#N/A</v>
      </c>
      <c r="AG428" s="306">
        <f t="shared" ca="1" si="201"/>
        <v>4.1121885386405577</v>
      </c>
      <c r="AH428" s="304">
        <f t="shared" ca="1" si="202"/>
        <v>-5.6214039117452153</v>
      </c>
    </row>
    <row r="429" spans="1:34" x14ac:dyDescent="0.2">
      <c r="A429" s="347">
        <f t="shared" ca="1" si="180"/>
        <v>0.1</v>
      </c>
      <c r="B429" s="304">
        <f t="shared" ca="1" si="181"/>
        <v>35.200000000000216</v>
      </c>
      <c r="D429" s="306">
        <f t="shared" ca="1" si="182"/>
        <v>-0.69964101181244098</v>
      </c>
      <c r="E429" s="307">
        <f t="shared" ca="1" si="183"/>
        <v>-4.1742086922170278</v>
      </c>
      <c r="F429" s="304">
        <f t="shared" ca="1" si="184"/>
        <v>4.2324361485544149</v>
      </c>
      <c r="G429" s="306">
        <f t="shared" ca="1" si="185"/>
        <v>10.836225556084024</v>
      </c>
      <c r="H429" s="307">
        <f t="shared" ca="1" si="186"/>
        <v>-88.269630550614139</v>
      </c>
      <c r="I429" s="304">
        <f t="shared" ca="1" si="187"/>
        <v>88.932285823789783</v>
      </c>
      <c r="J429" s="306">
        <f t="shared" ca="1" si="188"/>
        <v>695.19134373628572</v>
      </c>
      <c r="K429" s="307">
        <f t="shared" ca="1" si="189"/>
        <v>2383.735566712724</v>
      </c>
      <c r="L429" s="304">
        <f t="shared" ca="1" si="174"/>
        <v>2483.0397210711499</v>
      </c>
      <c r="M429" s="306">
        <f t="shared" ca="1" si="190"/>
        <v>-1.4486447330490311</v>
      </c>
      <c r="N429" s="304">
        <f t="shared" ca="1" si="191"/>
        <v>-83.001229217565282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1.7842999999999964</v>
      </c>
      <c r="T429" s="304">
        <f t="shared" ca="1" si="175"/>
        <v>17.503982999999966</v>
      </c>
      <c r="U429" s="311">
        <f t="shared" ca="1" si="176"/>
        <v>0</v>
      </c>
      <c r="V429" s="306">
        <f t="shared" ca="1" si="177"/>
        <v>0.96408947766827757</v>
      </c>
      <c r="W429" s="304">
        <f t="shared" ca="1" si="178"/>
        <v>10.235363673082569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 t="e">
        <f t="shared" ca="1" si="179"/>
        <v>#N/A</v>
      </c>
      <c r="AG429" s="306">
        <f t="shared" ca="1" si="201"/>
        <v>4.0562171456964879</v>
      </c>
      <c r="AH429" s="304">
        <f t="shared" ca="1" si="202"/>
        <v>-5.6790528444708137</v>
      </c>
    </row>
    <row r="430" spans="1:34" x14ac:dyDescent="0.2">
      <c r="A430" s="347">
        <f t="shared" ca="1" si="180"/>
        <v>0.1</v>
      </c>
      <c r="B430" s="304">
        <f t="shared" ca="1" si="181"/>
        <v>35.300000000000217</v>
      </c>
      <c r="D430" s="306">
        <f t="shared" ca="1" si="182"/>
        <v>-0.69896267356301489</v>
      </c>
      <c r="E430" s="307">
        <f t="shared" ca="1" si="183"/>
        <v>-4.1163960190975502</v>
      </c>
      <c r="F430" s="304">
        <f t="shared" ca="1" si="184"/>
        <v>4.1753161563020011</v>
      </c>
      <c r="G430" s="306">
        <f t="shared" ca="1" si="185"/>
        <v>10.766329288727723</v>
      </c>
      <c r="H430" s="307">
        <f t="shared" ca="1" si="186"/>
        <v>-88.681270152523894</v>
      </c>
      <c r="I430" s="304">
        <f t="shared" ca="1" si="187"/>
        <v>89.332421450547514</v>
      </c>
      <c r="J430" s="306">
        <f t="shared" ca="1" si="188"/>
        <v>696.27147147852634</v>
      </c>
      <c r="K430" s="307">
        <f t="shared" ca="1" si="189"/>
        <v>2374.8880216775669</v>
      </c>
      <c r="L430" s="304">
        <f t="shared" ca="1" si="174"/>
        <v>2474.8509202581195</v>
      </c>
      <c r="M430" s="306">
        <f t="shared" ca="1" si="190"/>
        <v>-1.4499828023657155</v>
      </c>
      <c r="N430" s="304">
        <f t="shared" ca="1" si="191"/>
        <v>-83.077894942107264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1.7842999999999964</v>
      </c>
      <c r="T430" s="304">
        <f t="shared" ca="1" si="175"/>
        <v>17.503982999999966</v>
      </c>
      <c r="U430" s="311">
        <f t="shared" ca="1" si="176"/>
        <v>0</v>
      </c>
      <c r="V430" s="306">
        <f t="shared" ca="1" si="177"/>
        <v>0.96495509396637469</v>
      </c>
      <c r="W430" s="304">
        <f t="shared" ca="1" si="178"/>
        <v>10.336948212931295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 t="e">
        <f t="shared" ca="1" si="179"/>
        <v>#N/A</v>
      </c>
      <c r="AG430" s="306">
        <f t="shared" ca="1" si="201"/>
        <v>4.0005565506849354</v>
      </c>
      <c r="AH430" s="304">
        <f t="shared" ca="1" si="202"/>
        <v>-5.7363468436264018</v>
      </c>
    </row>
    <row r="431" spans="1:34" x14ac:dyDescent="0.2">
      <c r="A431" s="347">
        <f t="shared" ca="1" si="180"/>
        <v>0.1</v>
      </c>
      <c r="B431" s="304">
        <f t="shared" ca="1" si="181"/>
        <v>35.400000000000219</v>
      </c>
      <c r="D431" s="306">
        <f t="shared" ca="1" si="182"/>
        <v>-0.698205101113476</v>
      </c>
      <c r="E431" s="307">
        <f t="shared" ca="1" si="183"/>
        <v>-4.0589484082061418</v>
      </c>
      <c r="F431" s="304">
        <f t="shared" ca="1" si="184"/>
        <v>4.1185619509362787</v>
      </c>
      <c r="G431" s="306">
        <f t="shared" ca="1" si="185"/>
        <v>10.696508778616376</v>
      </c>
      <c r="H431" s="307">
        <f t="shared" ca="1" si="186"/>
        <v>-89.087164993344501</v>
      </c>
      <c r="I431" s="304">
        <f t="shared" ca="1" si="187"/>
        <v>89.727020827632543</v>
      </c>
      <c r="J431" s="306">
        <f t="shared" ca="1" si="188"/>
        <v>697.34461338189351</v>
      </c>
      <c r="K431" s="307">
        <f t="shared" ca="1" si="189"/>
        <v>2365.9995999202733</v>
      </c>
      <c r="L431" s="304">
        <f t="shared" ca="1" si="174"/>
        <v>2466.6259579911252</v>
      </c>
      <c r="M431" s="306">
        <f t="shared" ca="1" si="190"/>
        <v>-1.4513004656269592</v>
      </c>
      <c r="N431" s="304">
        <f t="shared" ca="1" si="191"/>
        <v>-83.153391485795964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1.7842999999999964</v>
      </c>
      <c r="T431" s="304">
        <f t="shared" ca="1" si="175"/>
        <v>17.503982999999966</v>
      </c>
      <c r="U431" s="311">
        <f t="shared" ca="1" si="176"/>
        <v>0</v>
      </c>
      <c r="V431" s="306">
        <f t="shared" ca="1" si="177"/>
        <v>0.9658253991104726</v>
      </c>
      <c r="W431" s="304">
        <f t="shared" ca="1" si="178"/>
        <v>10.437876255828471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 t="e">
        <f t="shared" ca="1" si="179"/>
        <v>#N/A</v>
      </c>
      <c r="AG431" s="306">
        <f t="shared" ca="1" si="201"/>
        <v>3.9452148343334583</v>
      </c>
      <c r="AH431" s="304">
        <f t="shared" ca="1" si="202"/>
        <v>-5.7932792764284686</v>
      </c>
    </row>
    <row r="432" spans="1:34" x14ac:dyDescent="0.2">
      <c r="A432" s="347">
        <f t="shared" ca="1" si="180"/>
        <v>0.1</v>
      </c>
      <c r="B432" s="304">
        <f t="shared" ca="1" si="181"/>
        <v>35.50000000000022</v>
      </c>
      <c r="D432" s="306">
        <f t="shared" ca="1" si="182"/>
        <v>-0.69736969715688568</v>
      </c>
      <c r="E432" s="307">
        <f t="shared" ca="1" si="183"/>
        <v>-4.0018722680644228</v>
      </c>
      <c r="F432" s="304">
        <f t="shared" ca="1" si="184"/>
        <v>4.0621799743999247</v>
      </c>
      <c r="G432" s="306">
        <f t="shared" ca="1" si="185"/>
        <v>10.626771808900688</v>
      </c>
      <c r="H432" s="307">
        <f t="shared" ca="1" si="186"/>
        <v>-89.487352220150939</v>
      </c>
      <c r="I432" s="304">
        <f t="shared" ca="1" si="187"/>
        <v>90.116116685373214</v>
      </c>
      <c r="J432" s="306">
        <f t="shared" ca="1" si="188"/>
        <v>698.41077741126935</v>
      </c>
      <c r="K432" s="307">
        <f t="shared" ca="1" si="189"/>
        <v>2357.0708740595987</v>
      </c>
      <c r="L432" s="304">
        <f t="shared" ca="1" si="174"/>
        <v>2458.3654568318952</v>
      </c>
      <c r="M432" s="306">
        <f t="shared" ca="1" si="190"/>
        <v>-1.4525981989730288</v>
      </c>
      <c r="N432" s="304">
        <f t="shared" ca="1" si="191"/>
        <v>-83.227746129459135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1.7842999999999964</v>
      </c>
      <c r="T432" s="304">
        <f t="shared" ca="1" si="175"/>
        <v>17.503982999999966</v>
      </c>
      <c r="U432" s="311">
        <f t="shared" ca="1" si="176"/>
        <v>0</v>
      </c>
      <c r="V432" s="306">
        <f t="shared" ca="1" si="177"/>
        <v>0.96670034733188548</v>
      </c>
      <c r="W432" s="304">
        <f t="shared" ca="1" si="178"/>
        <v>10.538136922986316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 t="e">
        <f t="shared" ca="1" si="179"/>
        <v>#N/A</v>
      </c>
      <c r="AG432" s="306">
        <f t="shared" ca="1" si="201"/>
        <v>3.8901997494189526</v>
      </c>
      <c r="AH432" s="304">
        <f t="shared" ca="1" si="202"/>
        <v>-5.8498437795373484</v>
      </c>
    </row>
    <row r="433" spans="1:34" x14ac:dyDescent="0.2">
      <c r="A433" s="347">
        <f t="shared" ca="1" si="180"/>
        <v>0.1</v>
      </c>
      <c r="B433" s="304">
        <f t="shared" ca="1" si="181"/>
        <v>35.600000000000222</v>
      </c>
      <c r="D433" s="306">
        <f t="shared" ca="1" si="182"/>
        <v>-0.69645786616859917</v>
      </c>
      <c r="E433" s="307">
        <f t="shared" ca="1" si="183"/>
        <v>-3.9451737388278927</v>
      </c>
      <c r="F433" s="304">
        <f t="shared" ca="1" si="184"/>
        <v>4.0061764051131563</v>
      </c>
      <c r="G433" s="306">
        <f t="shared" ca="1" si="185"/>
        <v>10.557126022283828</v>
      </c>
      <c r="H433" s="307">
        <f t="shared" ca="1" si="186"/>
        <v>-89.881869594033731</v>
      </c>
      <c r="I433" s="304">
        <f t="shared" ca="1" si="187"/>
        <v>90.499742494491485</v>
      </c>
      <c r="J433" s="306">
        <f t="shared" ca="1" si="188"/>
        <v>699.46997230282852</v>
      </c>
      <c r="K433" s="307">
        <f t="shared" ca="1" si="189"/>
        <v>2348.1024129688894</v>
      </c>
      <c r="L433" s="304">
        <f t="shared" ca="1" si="174"/>
        <v>2450.0700365384741</v>
      </c>
      <c r="M433" s="306">
        <f t="shared" ca="1" si="190"/>
        <v>-1.4538764632982271</v>
      </c>
      <c r="N433" s="304">
        <f t="shared" ca="1" si="191"/>
        <v>-83.300985280395139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1.7842999999999964</v>
      </c>
      <c r="T433" s="304">
        <f t="shared" ca="1" si="175"/>
        <v>17.503982999999966</v>
      </c>
      <c r="U433" s="311">
        <f t="shared" ca="1" si="176"/>
        <v>0</v>
      </c>
      <c r="V433" s="306">
        <f t="shared" ca="1" si="177"/>
        <v>0.96757989311721959</v>
      </c>
      <c r="W433" s="304">
        <f t="shared" ca="1" si="178"/>
        <v>10.637719805284435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 t="e">
        <f t="shared" ca="1" si="179"/>
        <v>#N/A</v>
      </c>
      <c r="AG433" s="306">
        <f t="shared" ca="1" si="201"/>
        <v>3.8355187266296724</v>
      </c>
      <c r="AH433" s="304">
        <f t="shared" ca="1" si="202"/>
        <v>-5.9060342560031032</v>
      </c>
    </row>
    <row r="434" spans="1:34" x14ac:dyDescent="0.2">
      <c r="A434" s="347">
        <f t="shared" ca="1" si="180"/>
        <v>0.1</v>
      </c>
      <c r="B434" s="304">
        <f t="shared" ca="1" si="181"/>
        <v>35.700000000000223</v>
      </c>
      <c r="D434" s="306">
        <f t="shared" ca="1" si="182"/>
        <v>-0.69547101356532748</v>
      </c>
      <c r="E434" s="307">
        <f t="shared" ca="1" si="183"/>
        <v>-3.8888586954665909</v>
      </c>
      <c r="F434" s="304">
        <f t="shared" ca="1" si="184"/>
        <v>3.9505571612135548</v>
      </c>
      <c r="G434" s="306">
        <f t="shared" ca="1" si="185"/>
        <v>10.487578920927296</v>
      </c>
      <c r="H434" s="307">
        <f t="shared" ca="1" si="186"/>
        <v>-90.270755463580386</v>
      </c>
      <c r="I434" s="304">
        <f t="shared" ca="1" si="187"/>
        <v>90.87793243460267</v>
      </c>
      <c r="J434" s="306">
        <f t="shared" ca="1" si="188"/>
        <v>700.52220754998905</v>
      </c>
      <c r="K434" s="307">
        <f t="shared" ca="1" si="189"/>
        <v>2339.0947817160086</v>
      </c>
      <c r="L434" s="304">
        <f t="shared" ca="1" si="174"/>
        <v>2441.7403140223105</v>
      </c>
      <c r="M434" s="306">
        <f t="shared" ca="1" si="190"/>
        <v>-1.4551357048523492</v>
      </c>
      <c r="N434" s="304">
        <f t="shared" ca="1" si="191"/>
        <v>-83.373134506833836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1.7842999999999964</v>
      </c>
      <c r="T434" s="304">
        <f t="shared" ca="1" si="175"/>
        <v>17.503982999999966</v>
      </c>
      <c r="U434" s="311">
        <f t="shared" ca="1" si="176"/>
        <v>0</v>
      </c>
      <c r="V434" s="306">
        <f t="shared" ca="1" si="177"/>
        <v>0.96846399121352389</v>
      </c>
      <c r="W434" s="304">
        <f t="shared" ca="1" si="178"/>
        <v>10.736614957427591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 t="e">
        <f t="shared" ca="1" si="179"/>
        <v>#N/A</v>
      </c>
      <c r="AG434" s="306">
        <f t="shared" ca="1" si="201"/>
        <v>3.7811788803855029</v>
      </c>
      <c r="AH434" s="304">
        <f t="shared" ca="1" si="202"/>
        <v>-5.9618448720979975</v>
      </c>
    </row>
    <row r="435" spans="1:34" x14ac:dyDescent="0.2">
      <c r="A435" s="347">
        <f t="shared" ca="1" si="180"/>
        <v>0.1</v>
      </c>
      <c r="B435" s="304">
        <f t="shared" ca="1" si="181"/>
        <v>35.800000000000225</v>
      </c>
      <c r="D435" s="306">
        <f t="shared" ca="1" si="182"/>
        <v>-0.69441054488902831</v>
      </c>
      <c r="E435" s="307">
        <f t="shared" ca="1" si="183"/>
        <v>-3.8329327510541829</v>
      </c>
      <c r="F435" s="304">
        <f t="shared" ca="1" si="184"/>
        <v>3.8953279039070465</v>
      </c>
      <c r="G435" s="306">
        <f t="shared" ca="1" si="185"/>
        <v>10.418137866438393</v>
      </c>
      <c r="H435" s="307">
        <f t="shared" ca="1" si="186"/>
        <v>-90.654048738685802</v>
      </c>
      <c r="I435" s="304">
        <f t="shared" ca="1" si="187"/>
        <v>91.250721363286431</v>
      </c>
      <c r="J435" s="306">
        <f t="shared" ca="1" si="188"/>
        <v>701.56749338935731</v>
      </c>
      <c r="K435" s="307">
        <f t="shared" ca="1" si="189"/>
        <v>2330.0485415058952</v>
      </c>
      <c r="L435" s="304">
        <f t="shared" ca="1" si="174"/>
        <v>2433.3769033083172</v>
      </c>
      <c r="M435" s="306">
        <f t="shared" ca="1" si="190"/>
        <v>-1.4563763558142042</v>
      </c>
      <c r="N435" s="304">
        <f t="shared" ca="1" si="191"/>
        <v>-83.444218570796977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1.7842999999999964</v>
      </c>
      <c r="T435" s="304">
        <f t="shared" ca="1" si="175"/>
        <v>17.503982999999966</v>
      </c>
      <c r="U435" s="311">
        <f t="shared" ca="1" si="176"/>
        <v>0</v>
      </c>
      <c r="V435" s="306">
        <f t="shared" ca="1" si="177"/>
        <v>0.96935259663325124</v>
      </c>
      <c r="W435" s="304">
        <f t="shared" ca="1" si="178"/>
        <v>10.834812891924807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 t="e">
        <f t="shared" ca="1" si="179"/>
        <v>#N/A</v>
      </c>
      <c r="AG435" s="306">
        <f t="shared" ca="1" si="201"/>
        <v>3.7271870146194273</v>
      </c>
      <c r="AH435" s="304">
        <f t="shared" ca="1" si="202"/>
        <v>-6.0172700540422648</v>
      </c>
    </row>
    <row r="436" spans="1:34" x14ac:dyDescent="0.2">
      <c r="A436" s="347">
        <f t="shared" ca="1" si="180"/>
        <v>0.1</v>
      </c>
      <c r="B436" s="304">
        <f t="shared" ca="1" si="181"/>
        <v>35.900000000000226</v>
      </c>
      <c r="D436" s="306">
        <f t="shared" ca="1" si="182"/>
        <v>-0.69327786501551281</v>
      </c>
      <c r="E436" s="307">
        <f t="shared" ca="1" si="183"/>
        <v>-3.7774012601587801</v>
      </c>
      <c r="F436" s="304">
        <f t="shared" ca="1" si="184"/>
        <v>3.8404940409235904</v>
      </c>
      <c r="G436" s="306">
        <f t="shared" ca="1" si="185"/>
        <v>10.348810079936841</v>
      </c>
      <c r="H436" s="307">
        <f t="shared" ca="1" si="186"/>
        <v>-91.031788864701682</v>
      </c>
      <c r="I436" s="304">
        <f t="shared" ca="1" si="187"/>
        <v>91.61814478572586</v>
      </c>
      <c r="J436" s="306">
        <f t="shared" ca="1" si="188"/>
        <v>702.60584078667603</v>
      </c>
      <c r="K436" s="307">
        <f t="shared" ca="1" si="189"/>
        <v>2320.9642496257256</v>
      </c>
      <c r="L436" s="304">
        <f t="shared" ca="1" si="174"/>
        <v>2424.9804154978779</v>
      </c>
      <c r="M436" s="306">
        <f t="shared" ca="1" si="190"/>
        <v>-1.4575988348386897</v>
      </c>
      <c r="N436" s="304">
        <f t="shared" ca="1" si="191"/>
        <v>-83.514261459443262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1.7842999999999964</v>
      </c>
      <c r="T436" s="304">
        <f t="shared" ca="1" si="175"/>
        <v>17.503982999999966</v>
      </c>
      <c r="U436" s="311">
        <f t="shared" ca="1" si="176"/>
        <v>0</v>
      </c>
      <c r="V436" s="306">
        <f t="shared" ca="1" si="177"/>
        <v>0.97024566465902684</v>
      </c>
      <c r="W436" s="304">
        <f t="shared" ca="1" si="178"/>
        <v>10.932304572901167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 t="e">
        <f t="shared" ca="1" si="179"/>
        <v>#N/A</v>
      </c>
      <c r="AG436" s="306">
        <f t="shared" ca="1" si="201"/>
        <v>3.673549628522661</v>
      </c>
      <c r="AH436" s="304">
        <f t="shared" ca="1" si="202"/>
        <v>-6.0723044846297309</v>
      </c>
    </row>
    <row r="437" spans="1:34" x14ac:dyDescent="0.2">
      <c r="A437" s="347">
        <f t="shared" ca="1" si="180"/>
        <v>0.1</v>
      </c>
      <c r="B437" s="304">
        <f t="shared" ca="1" si="181"/>
        <v>36.000000000000227</v>
      </c>
      <c r="D437" s="306">
        <f t="shared" ca="1" si="182"/>
        <v>-0.69207437738764555</v>
      </c>
      <c r="E437" s="307">
        <f t="shared" ca="1" si="183"/>
        <v>-3.7222693223290344</v>
      </c>
      <c r="F437" s="304">
        <f t="shared" ca="1" si="184"/>
        <v>3.7860607300713425</v>
      </c>
      <c r="G437" s="306">
        <f t="shared" ca="1" si="185"/>
        <v>10.279602642198077</v>
      </c>
      <c r="H437" s="307">
        <f t="shared" ca="1" si="186"/>
        <v>-91.404015796934587</v>
      </c>
      <c r="I437" s="304">
        <f t="shared" ca="1" si="187"/>
        <v>91.980238824911481</v>
      </c>
      <c r="J437" s="306">
        <f t="shared" ca="1" si="188"/>
        <v>703.63726142278279</v>
      </c>
      <c r="K437" s="307">
        <f t="shared" ca="1" si="189"/>
        <v>2311.8424593926438</v>
      </c>
      <c r="L437" s="304">
        <f t="shared" ca="1" si="174"/>
        <v>2416.5514587347775</v>
      </c>
      <c r="M437" s="306">
        <f t="shared" ca="1" si="190"/>
        <v>-1.4588035475788257</v>
      </c>
      <c r="N437" s="304">
        <f t="shared" ca="1" si="191"/>
        <v>-83.583286414978701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1.7842999999999964</v>
      </c>
      <c r="T437" s="304">
        <f t="shared" ca="1" si="175"/>
        <v>17.503982999999966</v>
      </c>
      <c r="U437" s="311">
        <f t="shared" ca="1" si="176"/>
        <v>0</v>
      </c>
      <c r="V437" s="306">
        <f t="shared" ca="1" si="177"/>
        <v>0.97114315084823555</v>
      </c>
      <c r="W437" s="304">
        <f t="shared" ca="1" si="178"/>
        <v>11.029081409753735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>
        <f t="shared" ca="1" si="199"/>
        <v>36.000000000000227</v>
      </c>
      <c r="AD437" s="323">
        <f t="shared" ca="1" si="200"/>
        <v>703.63726142278279</v>
      </c>
      <c r="AE437" s="324" t="e">
        <f t="shared" ca="1" si="179"/>
        <v>#N/A</v>
      </c>
      <c r="AG437" s="306">
        <f t="shared" ca="1" si="201"/>
        <v>3.6202729222553938</v>
      </c>
      <c r="AH437" s="304">
        <f t="shared" ca="1" si="202"/>
        <v>-6.126943099759675</v>
      </c>
    </row>
    <row r="438" spans="1:34" x14ac:dyDescent="0.2">
      <c r="A438" s="347">
        <f t="shared" ca="1" si="180"/>
        <v>0.1</v>
      </c>
      <c r="B438" s="304">
        <f t="shared" ca="1" si="181"/>
        <v>36.100000000000229</v>
      </c>
      <c r="D438" s="306">
        <f t="shared" ca="1" si="182"/>
        <v>-0.69080148327296953</v>
      </c>
      <c r="E438" s="307">
        <f t="shared" ca="1" si="183"/>
        <v>-3.6675417856689823</v>
      </c>
      <c r="F438" s="304">
        <f t="shared" ca="1" si="184"/>
        <v>3.732032882883022</v>
      </c>
      <c r="G438" s="306">
        <f t="shared" ca="1" si="185"/>
        <v>10.21052249387078</v>
      </c>
      <c r="H438" s="307">
        <f t="shared" ca="1" si="186"/>
        <v>-91.77076997550148</v>
      </c>
      <c r="I438" s="304">
        <f t="shared" ca="1" si="187"/>
        <v>92.337040192407315</v>
      </c>
      <c r="J438" s="306">
        <f t="shared" ca="1" si="188"/>
        <v>704.66176767958621</v>
      </c>
      <c r="K438" s="307">
        <f t="shared" ca="1" si="189"/>
        <v>2302.6837201040221</v>
      </c>
      <c r="L438" s="304">
        <f t="shared" ca="1" si="174"/>
        <v>2408.0906381740324</v>
      </c>
      <c r="M438" s="306">
        <f t="shared" ca="1" si="190"/>
        <v>-1.4599908871840601</v>
      </c>
      <c r="N438" s="304">
        <f t="shared" ca="1" si="191"/>
        <v>-83.651315963207352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1.7842999999999964</v>
      </c>
      <c r="T438" s="304">
        <f t="shared" ca="1" si="175"/>
        <v>17.503982999999966</v>
      </c>
      <c r="U438" s="311">
        <f t="shared" ca="1" si="176"/>
        <v>0</v>
      </c>
      <c r="V438" s="306">
        <f t="shared" ca="1" si="177"/>
        <v>0.97204501103741892</v>
      </c>
      <c r="W438" s="304">
        <f t="shared" ca="1" si="178"/>
        <v>11.125135250662533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 t="e">
        <f t="shared" ca="1" si="179"/>
        <v>#N/A</v>
      </c>
      <c r="AG438" s="306">
        <f t="shared" ca="1" si="201"/>
        <v>3.5673628026246211</v>
      </c>
      <c r="AH438" s="304">
        <f t="shared" ca="1" si="202"/>
        <v>-6.18118108488133</v>
      </c>
    </row>
    <row r="439" spans="1:34" x14ac:dyDescent="0.2">
      <c r="A439" s="347">
        <f t="shared" ca="1" si="180"/>
        <v>0.1</v>
      </c>
      <c r="B439" s="304">
        <f t="shared" ca="1" si="181"/>
        <v>36.20000000000023</v>
      </c>
      <c r="D439" s="306">
        <f t="shared" ca="1" si="182"/>
        <v>-0.6894605810456047</v>
      </c>
      <c r="E439" s="307">
        <f t="shared" ca="1" si="183"/>
        <v>-3.6132232504954418</v>
      </c>
      <c r="F439" s="304">
        <f t="shared" ca="1" si="184"/>
        <v>3.6784151683485362</v>
      </c>
      <c r="G439" s="306">
        <f t="shared" ca="1" si="185"/>
        <v>10.14157643576622</v>
      </c>
      <c r="H439" s="307">
        <f t="shared" ca="1" si="186"/>
        <v>-92.132092300551022</v>
      </c>
      <c r="I439" s="304">
        <f t="shared" ca="1" si="187"/>
        <v>92.688586159676319</v>
      </c>
      <c r="J439" s="306">
        <f t="shared" ca="1" si="188"/>
        <v>705.67937262606802</v>
      </c>
      <c r="K439" s="307">
        <f t="shared" ca="1" si="189"/>
        <v>2293.4885769902194</v>
      </c>
      <c r="L439" s="304">
        <f t="shared" ca="1" si="174"/>
        <v>2399.5985559535875</v>
      </c>
      <c r="M439" s="306">
        <f t="shared" ca="1" si="190"/>
        <v>-1.4611612347760889</v>
      </c>
      <c r="N439" s="304">
        <f t="shared" ca="1" si="191"/>
        <v>-83.718371940793901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1.7842999999999964</v>
      </c>
      <c r="T439" s="304">
        <f t="shared" ca="1" si="175"/>
        <v>17.503982999999966</v>
      </c>
      <c r="U439" s="311">
        <f t="shared" ca="1" si="176"/>
        <v>0</v>
      </c>
      <c r="V439" s="306">
        <f t="shared" ca="1" si="177"/>
        <v>0.9729512013464946</v>
      </c>
      <c r="W439" s="304">
        <f t="shared" ca="1" si="178"/>
        <v>11.220458375967629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 t="e">
        <f t="shared" ca="1" si="179"/>
        <v>#N/A</v>
      </c>
      <c r="AG439" s="306">
        <f t="shared" ca="1" si="201"/>
        <v>3.5148248887301294</v>
      </c>
      <c r="AH439" s="304">
        <f t="shared" ca="1" si="202"/>
        <v>-6.2350138713571459</v>
      </c>
    </row>
    <row r="440" spans="1:34" x14ac:dyDescent="0.2">
      <c r="A440" s="347">
        <f t="shared" ca="1" si="180"/>
        <v>0.1</v>
      </c>
      <c r="B440" s="304">
        <f t="shared" ca="1" si="181"/>
        <v>36.300000000000232</v>
      </c>
      <c r="D440" s="306">
        <f t="shared" ca="1" si="182"/>
        <v>-0.68805306549222023</v>
      </c>
      <c r="E440" s="307">
        <f t="shared" ca="1" si="183"/>
        <v>-3.5593180730716529</v>
      </c>
      <c r="F440" s="304">
        <f t="shared" ca="1" si="184"/>
        <v>3.6252120167278146</v>
      </c>
      <c r="G440" s="306">
        <f t="shared" ca="1" si="185"/>
        <v>10.072771129216997</v>
      </c>
      <c r="H440" s="307">
        <f t="shared" ca="1" si="186"/>
        <v>-92.488024107858195</v>
      </c>
      <c r="I440" s="304">
        <f t="shared" ca="1" si="187"/>
        <v>93.034914529962066</v>
      </c>
      <c r="J440" s="306">
        <f t="shared" ca="1" si="188"/>
        <v>706.6900900043172</v>
      </c>
      <c r="K440" s="307">
        <f t="shared" ca="1" si="189"/>
        <v>2284.2575711697991</v>
      </c>
      <c r="L440" s="304">
        <f t="shared" ca="1" si="174"/>
        <v>2391.0758111688679</v>
      </c>
      <c r="M440" s="306">
        <f t="shared" ca="1" si="190"/>
        <v>-1.4623149599033531</v>
      </c>
      <c r="N440" s="304">
        <f t="shared" ca="1" si="191"/>
        <v>-83.784475521304344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1.7842999999999964</v>
      </c>
      <c r="T440" s="304">
        <f t="shared" ca="1" si="175"/>
        <v>17.503982999999966</v>
      </c>
      <c r="U440" s="311">
        <f t="shared" ca="1" si="176"/>
        <v>0</v>
      </c>
      <c r="V440" s="306">
        <f t="shared" ca="1" si="177"/>
        <v>0.97386167818279135</v>
      </c>
      <c r="W440" s="304">
        <f t="shared" ca="1" si="178"/>
        <v>11.315043491422754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 t="e">
        <f t="shared" ca="1" si="179"/>
        <v>#N/A</v>
      </c>
      <c r="AG440" s="306">
        <f t="shared" ca="1" si="201"/>
        <v>3.4626645175793156</v>
      </c>
      <c r="AH440" s="304">
        <f t="shared" ca="1" si="202"/>
        <v>-6.2884371327510236</v>
      </c>
    </row>
    <row r="441" spans="1:34" x14ac:dyDescent="0.2">
      <c r="A441" s="347">
        <f t="shared" ca="1" si="180"/>
        <v>0.1</v>
      </c>
      <c r="B441" s="304">
        <f t="shared" ca="1" si="181"/>
        <v>36.400000000000233</v>
      </c>
      <c r="D441" s="306">
        <f t="shared" ca="1" si="182"/>
        <v>-0.68658032714189621</v>
      </c>
      <c r="E441" s="307">
        <f t="shared" ca="1" si="183"/>
        <v>-3.505830369411254</v>
      </c>
      <c r="F441" s="304">
        <f t="shared" ca="1" si="184"/>
        <v>3.5724276234382306</v>
      </c>
      <c r="G441" s="306">
        <f t="shared" ca="1" si="185"/>
        <v>10.004113096502808</v>
      </c>
      <c r="H441" s="307">
        <f t="shared" ca="1" si="186"/>
        <v>-92.838607144799326</v>
      </c>
      <c r="I441" s="304">
        <f t="shared" ca="1" si="187"/>
        <v>93.37606361072416</v>
      </c>
      <c r="J441" s="306">
        <f t="shared" ca="1" si="188"/>
        <v>707.69393421560324</v>
      </c>
      <c r="K441" s="307">
        <f t="shared" ca="1" si="189"/>
        <v>2274.9912396071663</v>
      </c>
      <c r="L441" s="304">
        <f t="shared" ca="1" si="174"/>
        <v>2382.52299985014</v>
      </c>
      <c r="M441" s="306">
        <f t="shared" ca="1" si="190"/>
        <v>-1.4634524209753148</v>
      </c>
      <c r="N441" s="304">
        <f t="shared" ca="1" si="191"/>
        <v>-83.849647240088174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1.7842999999999964</v>
      </c>
      <c r="T441" s="304">
        <f t="shared" ca="1" si="175"/>
        <v>17.503982999999966</v>
      </c>
      <c r="U441" s="311">
        <f t="shared" ca="1" si="176"/>
        <v>0</v>
      </c>
      <c r="V441" s="306">
        <f t="shared" ca="1" si="177"/>
        <v>0.97477639824491114</v>
      </c>
      <c r="W441" s="304">
        <f t="shared" ca="1" si="178"/>
        <v>11.408883721336053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 t="e">
        <f t="shared" ca="1" si="179"/>
        <v>#N/A</v>
      </c>
      <c r="AG441" s="306">
        <f t="shared" ca="1" si="201"/>
        <v>3.4108867496712643</v>
      </c>
      <c r="AH441" s="304">
        <f t="shared" ca="1" si="202"/>
        <v>-6.3414467810473445</v>
      </c>
    </row>
    <row r="442" spans="1:34" x14ac:dyDescent="0.2">
      <c r="A442" s="347">
        <f t="shared" ca="1" si="180"/>
        <v>0.1</v>
      </c>
      <c r="B442" s="304">
        <f t="shared" ca="1" si="181"/>
        <v>36.500000000000234</v>
      </c>
      <c r="D442" s="306">
        <f t="shared" ca="1" si="182"/>
        <v>-0.68504375161963593</v>
      </c>
      <c r="E442" s="307">
        <f t="shared" ca="1" si="183"/>
        <v>-3.4527640191465565</v>
      </c>
      <c r="F442" s="304">
        <f t="shared" ca="1" si="184"/>
        <v>3.5200659530108509</v>
      </c>
      <c r="G442" s="306">
        <f t="shared" ca="1" si="185"/>
        <v>9.9356087213408451</v>
      </c>
      <c r="H442" s="307">
        <f t="shared" ca="1" si="186"/>
        <v>-93.183883546713986</v>
      </c>
      <c r="I442" s="304">
        <f t="shared" ca="1" si="187"/>
        <v>93.712072186624596</v>
      </c>
      <c r="J442" s="306">
        <f t="shared" ca="1" si="188"/>
        <v>708.6909203064954</v>
      </c>
      <c r="K442" s="307">
        <f t="shared" ca="1" si="189"/>
        <v>2265.6901150725907</v>
      </c>
      <c r="L442" s="304">
        <f t="shared" ca="1" si="174"/>
        <v>2373.9407149426702</v>
      </c>
      <c r="M442" s="306">
        <f t="shared" ca="1" si="190"/>
        <v>-1.4645739656775456</v>
      </c>
      <c r="N442" s="304">
        <f t="shared" ca="1" si="191"/>
        <v>-83.913907018061252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1.7842999999999964</v>
      </c>
      <c r="T442" s="304">
        <f t="shared" ca="1" si="175"/>
        <v>17.503982999999966</v>
      </c>
      <c r="U442" s="311">
        <f t="shared" ca="1" si="176"/>
        <v>0</v>
      </c>
      <c r="V442" s="306">
        <f t="shared" ca="1" si="177"/>
        <v>0.97569531852640956</v>
      </c>
      <c r="W442" s="304">
        <f t="shared" ca="1" si="178"/>
        <v>11.501972601607992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 t="e">
        <f t="shared" ca="1" si="179"/>
        <v>#N/A</v>
      </c>
      <c r="AG442" s="306">
        <f t="shared" ca="1" si="201"/>
        <v>3.3594963745501305</v>
      </c>
      <c r="AH442" s="304">
        <f t="shared" ca="1" si="202"/>
        <v>-6.3940389628067456</v>
      </c>
    </row>
    <row r="443" spans="1:34" x14ac:dyDescent="0.2">
      <c r="A443" s="347">
        <f t="shared" ca="1" si="180"/>
        <v>0.1</v>
      </c>
      <c r="B443" s="304">
        <f t="shared" ca="1" si="181"/>
        <v>36.600000000000236</v>
      </c>
      <c r="D443" s="306">
        <f t="shared" ca="1" si="182"/>
        <v>-0.68344471902329695</v>
      </c>
      <c r="E443" s="307">
        <f t="shared" ca="1" si="183"/>
        <v>-3.4001226694554294</v>
      </c>
      <c r="F443" s="304">
        <f t="shared" ca="1" si="184"/>
        <v>3.4681307431101192</v>
      </c>
      <c r="G443" s="306">
        <f t="shared" ca="1" si="185"/>
        <v>9.8672642494385148</v>
      </c>
      <c r="H443" s="307">
        <f t="shared" ca="1" si="186"/>
        <v>-93.523895813659536</v>
      </c>
      <c r="I443" s="304">
        <f t="shared" ca="1" si="187"/>
        <v>94.042979493062063</v>
      </c>
      <c r="J443" s="306">
        <f t="shared" ca="1" si="188"/>
        <v>709.68106395503435</v>
      </c>
      <c r="K443" s="307">
        <f t="shared" ca="1" si="189"/>
        <v>2256.3547261045719</v>
      </c>
      <c r="L443" s="304">
        <f t="shared" ca="1" si="174"/>
        <v>2365.3295462896472</v>
      </c>
      <c r="M443" s="306">
        <f t="shared" ca="1" si="190"/>
        <v>-1.4656799313685986</v>
      </c>
      <c r="N443" s="304">
        <f t="shared" ca="1" si="191"/>
        <v>-83.977274184444866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1.7842999999999964</v>
      </c>
      <c r="T443" s="304">
        <f t="shared" ca="1" si="175"/>
        <v>17.503982999999966</v>
      </c>
      <c r="U443" s="311">
        <f t="shared" ca="1" si="176"/>
        <v>0</v>
      </c>
      <c r="V443" s="306">
        <f t="shared" ca="1" si="177"/>
        <v>0.97661839631930814</v>
      </c>
      <c r="W443" s="304">
        <f t="shared" ca="1" si="178"/>
        <v>11.594304072676399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 t="e">
        <f t="shared" ca="1" si="179"/>
        <v>#N/A</v>
      </c>
      <c r="AG443" s="306">
        <f t="shared" ca="1" si="201"/>
        <v>3.30849791632766</v>
      </c>
      <c r="AH443" s="304">
        <f t="shared" ca="1" si="202"/>
        <v>-6.4462100552642578</v>
      </c>
    </row>
    <row r="444" spans="1:34" x14ac:dyDescent="0.2">
      <c r="A444" s="347">
        <f t="shared" ca="1" si="180"/>
        <v>0.1</v>
      </c>
      <c r="B444" s="304">
        <f t="shared" ca="1" si="181"/>
        <v>36.700000000000237</v>
      </c>
      <c r="D444" s="306">
        <f t="shared" ca="1" si="182"/>
        <v>-0.68178460332371515</v>
      </c>
      <c r="E444" s="307">
        <f t="shared" ca="1" si="183"/>
        <v>-3.3479097390411257</v>
      </c>
      <c r="F444" s="304">
        <f t="shared" ca="1" si="184"/>
        <v>3.4166255086116322</v>
      </c>
      <c r="G444" s="306">
        <f t="shared" ca="1" si="185"/>
        <v>9.7990857891061438</v>
      </c>
      <c r="H444" s="307">
        <f t="shared" ca="1" si="186"/>
        <v>-93.858686787563641</v>
      </c>
      <c r="I444" s="304">
        <f t="shared" ca="1" si="187"/>
        <v>94.368825190251442</v>
      </c>
      <c r="J444" s="306">
        <f t="shared" ca="1" si="188"/>
        <v>710.66438145696156</v>
      </c>
      <c r="K444" s="307">
        <f t="shared" ca="1" si="189"/>
        <v>2246.9855969745108</v>
      </c>
      <c r="L444" s="304">
        <f t="shared" ca="1" si="174"/>
        <v>2356.6900806178364</v>
      </c>
      <c r="M444" s="306">
        <f t="shared" ca="1" si="190"/>
        <v>-1.4667706454595901</v>
      </c>
      <c r="N444" s="304">
        <f t="shared" ca="1" si="191"/>
        <v>-84.039767498514124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1.7842999999999964</v>
      </c>
      <c r="T444" s="304">
        <f t="shared" ca="1" si="175"/>
        <v>17.503982999999966</v>
      </c>
      <c r="U444" s="311">
        <f t="shared" ca="1" si="176"/>
        <v>0</v>
      </c>
      <c r="V444" s="306">
        <f t="shared" ca="1" si="177"/>
        <v>0.9775455892174344</v>
      </c>
      <c r="W444" s="304">
        <f t="shared" ca="1" si="178"/>
        <v>11.685872472378337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 t="e">
        <f t="shared" ca="1" si="179"/>
        <v>#N/A</v>
      </c>
      <c r="AG444" s="306">
        <f t="shared" ca="1" si="201"/>
        <v>3.2578956391745084</v>
      </c>
      <c r="AH444" s="304">
        <f t="shared" ca="1" si="202"/>
        <v>-6.4979566623753975</v>
      </c>
    </row>
    <row r="445" spans="1:34" x14ac:dyDescent="0.2">
      <c r="A445" s="347">
        <f t="shared" ca="1" si="180"/>
        <v>0.1</v>
      </c>
      <c r="B445" s="304">
        <f t="shared" ca="1" si="181"/>
        <v>36.800000000000239</v>
      </c>
      <c r="D445" s="306">
        <f t="shared" ca="1" si="182"/>
        <v>-0.68006477178771474</v>
      </c>
      <c r="E445" s="307">
        <f t="shared" ca="1" si="183"/>
        <v>-3.2961284221595228</v>
      </c>
      <c r="F445" s="304">
        <f t="shared" ca="1" si="184"/>
        <v>3.3655535457327823</v>
      </c>
      <c r="G445" s="306">
        <f t="shared" ca="1" si="185"/>
        <v>9.7310793119273722</v>
      </c>
      <c r="H445" s="307">
        <f t="shared" ca="1" si="186"/>
        <v>-94.188299629779593</v>
      </c>
      <c r="I445" s="304">
        <f t="shared" ca="1" si="187"/>
        <v>94.68964933784558</v>
      </c>
      <c r="J445" s="306">
        <f t="shared" ca="1" si="188"/>
        <v>711.64088971201329</v>
      </c>
      <c r="K445" s="307">
        <f t="shared" ca="1" si="189"/>
        <v>2237.5832476536439</v>
      </c>
      <c r="L445" s="304">
        <f t="shared" ca="1" si="174"/>
        <v>2348.0229015259483</v>
      </c>
      <c r="M445" s="306">
        <f t="shared" ca="1" si="190"/>
        <v>-1.4678464257773496</v>
      </c>
      <c r="N445" s="304">
        <f t="shared" ca="1" si="191"/>
        <v>-84.101405170404973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1.7842999999999964</v>
      </c>
      <c r="T445" s="304">
        <f t="shared" ca="1" si="175"/>
        <v>17.503982999999966</v>
      </c>
      <c r="U445" s="311">
        <f t="shared" ca="1" si="176"/>
        <v>0</v>
      </c>
      <c r="V445" s="306">
        <f t="shared" ca="1" si="177"/>
        <v>0.97847685511959304</v>
      </c>
      <c r="W445" s="304">
        <f t="shared" ca="1" si="178"/>
        <v>11.776672528738146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 t="e">
        <f t="shared" ca="1" si="179"/>
        <v>#N/A</v>
      </c>
      <c r="AG445" s="306">
        <f t="shared" ca="1" si="201"/>
        <v>3.2076935527796602</v>
      </c>
      <c r="AH445" s="304">
        <f t="shared" ca="1" si="202"/>
        <v>-6.5492756108156476</v>
      </c>
    </row>
    <row r="446" spans="1:34" x14ac:dyDescent="0.2">
      <c r="A446" s="347">
        <f t="shared" ca="1" si="180"/>
        <v>0.1</v>
      </c>
      <c r="B446" s="304">
        <f t="shared" ca="1" si="181"/>
        <v>36.90000000000024</v>
      </c>
      <c r="D446" s="306">
        <f t="shared" ca="1" si="182"/>
        <v>-0.67828658442376788</v>
      </c>
      <c r="E446" s="307">
        <f t="shared" ca="1" si="183"/>
        <v>-3.2447816926885089</v>
      </c>
      <c r="F446" s="304">
        <f t="shared" ca="1" si="184"/>
        <v>3.3149179362113577</v>
      </c>
      <c r="G446" s="306">
        <f t="shared" ca="1" si="185"/>
        <v>9.6632506534849956</v>
      </c>
      <c r="H446" s="307">
        <f t="shared" ca="1" si="186"/>
        <v>-94.51277779904845</v>
      </c>
      <c r="I446" s="304">
        <f t="shared" ca="1" si="187"/>
        <v>95.005492370096079</v>
      </c>
      <c r="J446" s="306">
        <f t="shared" ca="1" si="188"/>
        <v>712.61060621028389</v>
      </c>
      <c r="K446" s="307">
        <f t="shared" ca="1" si="189"/>
        <v>2228.1481937822023</v>
      </c>
      <c r="L446" s="304">
        <f t="shared" ca="1" si="174"/>
        <v>2339.3285894756809</v>
      </c>
      <c r="M446" s="306">
        <f t="shared" ca="1" si="190"/>
        <v>-1.4689075809119612</v>
      </c>
      <c r="N446" s="304">
        <f t="shared" ca="1" si="191"/>
        <v>-84.162204881026852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1.7842999999999964</v>
      </c>
      <c r="T446" s="304">
        <f t="shared" ca="1" si="175"/>
        <v>17.503982999999966</v>
      </c>
      <c r="U446" s="311">
        <f t="shared" ca="1" si="176"/>
        <v>0</v>
      </c>
      <c r="V446" s="306">
        <f t="shared" ca="1" si="177"/>
        <v>0.97941215223257283</v>
      </c>
      <c r="W446" s="304">
        <f t="shared" ca="1" si="178"/>
        <v>11.866699352690844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 t="e">
        <f t="shared" ca="1" si="179"/>
        <v>#N/A</v>
      </c>
      <c r="AG446" s="306">
        <f t="shared" ca="1" si="201"/>
        <v>3.1578954177773273</v>
      </c>
      <c r="AH446" s="304">
        <f t="shared" ca="1" si="202"/>
        <v>-6.6001639459385579</v>
      </c>
    </row>
    <row r="447" spans="1:34" x14ac:dyDescent="0.2">
      <c r="A447" s="347">
        <f t="shared" ca="1" si="180"/>
        <v>0.1</v>
      </c>
      <c r="B447" s="304">
        <f t="shared" ca="1" si="181"/>
        <v>37.000000000000242</v>
      </c>
      <c r="D447" s="306">
        <f t="shared" ca="1" si="182"/>
        <v>-0.67645139344998861</v>
      </c>
      <c r="E447" s="307">
        <f t="shared" ca="1" si="183"/>
        <v>-3.1938723082342619</v>
      </c>
      <c r="F447" s="304">
        <f t="shared" ca="1" si="184"/>
        <v>3.2647215515271872</v>
      </c>
      <c r="G447" s="306">
        <f t="shared" ca="1" si="185"/>
        <v>9.5956055141399972</v>
      </c>
      <c r="H447" s="307">
        <f t="shared" ca="1" si="186"/>
        <v>-94.832165029871874</v>
      </c>
      <c r="I447" s="304">
        <f t="shared" ca="1" si="187"/>
        <v>95.316395071550247</v>
      </c>
      <c r="J447" s="306">
        <f t="shared" ca="1" si="188"/>
        <v>713.57354901866518</v>
      </c>
      <c r="K447" s="307">
        <f t="shared" ca="1" si="189"/>
        <v>2218.6809466407562</v>
      </c>
      <c r="L447" s="304">
        <f t="shared" ca="1" si="174"/>
        <v>2330.6077217854181</v>
      </c>
      <c r="M447" s="306">
        <f t="shared" ca="1" si="190"/>
        <v>-1.469954410549468</v>
      </c>
      <c r="N447" s="304">
        <f t="shared" ca="1" si="191"/>
        <v>-84.222183801125212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1.7842999999999964</v>
      </c>
      <c r="T447" s="304">
        <f t="shared" ca="1" si="175"/>
        <v>17.503982999999966</v>
      </c>
      <c r="U447" s="311">
        <f t="shared" ca="1" si="176"/>
        <v>0</v>
      </c>
      <c r="V447" s="306">
        <f t="shared" ca="1" si="177"/>
        <v>0.98035143907398836</v>
      </c>
      <c r="W447" s="304">
        <f t="shared" ca="1" si="178"/>
        <v>11.955948430749814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>
        <f t="shared" ca="1" si="199"/>
        <v>37.000000000000242</v>
      </c>
      <c r="AD447" s="323">
        <f t="shared" ca="1" si="200"/>
        <v>713.57354901866518</v>
      </c>
      <c r="AE447" s="324" t="e">
        <f t="shared" ca="1" si="179"/>
        <v>#N/A</v>
      </c>
      <c r="AG447" s="306">
        <f t="shared" ca="1" si="201"/>
        <v>3.1085047511403543</v>
      </c>
      <c r="AH447" s="304">
        <f t="shared" ca="1" si="202"/>
        <v>-6.6506189276976224</v>
      </c>
    </row>
    <row r="448" spans="1:34" x14ac:dyDescent="0.2">
      <c r="A448" s="347">
        <f t="shared" ca="1" si="180"/>
        <v>0.1</v>
      </c>
      <c r="B448" s="304">
        <f t="shared" ca="1" si="181"/>
        <v>37.100000000000243</v>
      </c>
      <c r="D448" s="306">
        <f t="shared" ca="1" si="182"/>
        <v>-0.67456054278415412</v>
      </c>
      <c r="E448" s="307">
        <f t="shared" ca="1" si="183"/>
        <v>-3.1434028142693808</v>
      </c>
      <c r="F448" s="304">
        <f t="shared" ca="1" si="184"/>
        <v>3.2149670571621596</v>
      </c>
      <c r="G448" s="306">
        <f t="shared" ca="1" si="185"/>
        <v>9.5281494598615826</v>
      </c>
      <c r="H448" s="307">
        <f t="shared" ca="1" si="186"/>
        <v>-95.14650531129881</v>
      </c>
      <c r="I448" s="304">
        <f t="shared" ca="1" si="187"/>
        <v>95.622398553280775</v>
      </c>
      <c r="J448" s="306">
        <f t="shared" ca="1" si="188"/>
        <v>714.52973676736531</v>
      </c>
      <c r="K448" s="307">
        <f t="shared" ca="1" si="189"/>
        <v>2209.1820131236977</v>
      </c>
      <c r="L448" s="304">
        <f t="shared" ca="1" si="174"/>
        <v>2321.8608726265475</v>
      </c>
      <c r="M448" s="306">
        <f t="shared" ca="1" si="190"/>
        <v>-1.4709872057904634</v>
      </c>
      <c r="N448" s="304">
        <f t="shared" ca="1" si="191"/>
        <v>-84.281358609535445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1.7842999999999964</v>
      </c>
      <c r="T448" s="304">
        <f t="shared" ca="1" si="175"/>
        <v>17.503982999999966</v>
      </c>
      <c r="U448" s="311">
        <f t="shared" ca="1" si="176"/>
        <v>0</v>
      </c>
      <c r="V448" s="306">
        <f t="shared" ca="1" si="177"/>
        <v>0.98129467447496532</v>
      </c>
      <c r="W448" s="304">
        <f t="shared" ca="1" si="178"/>
        <v>12.044415617627362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 t="e">
        <f t="shared" ca="1" si="179"/>
        <v>#N/A</v>
      </c>
      <c r="AG448" s="306">
        <f t="shared" ca="1" si="201"/>
        <v>3.0595248315390764</v>
      </c>
      <c r="AH448" s="304">
        <f t="shared" ca="1" si="202"/>
        <v>-6.7006380265369261</v>
      </c>
    </row>
    <row r="449" spans="1:34" x14ac:dyDescent="0.2">
      <c r="A449" s="347">
        <f t="shared" ca="1" si="180"/>
        <v>0.1</v>
      </c>
      <c r="B449" s="304">
        <f t="shared" ca="1" si="181"/>
        <v>37.200000000000244</v>
      </c>
      <c r="D449" s="306">
        <f t="shared" ca="1" si="182"/>
        <v>-0.67261536755547036</v>
      </c>
      <c r="E449" s="307">
        <f t="shared" ca="1" si="183"/>
        <v>-3.0933755482979723</v>
      </c>
      <c r="F449" s="304">
        <f t="shared" ca="1" si="184"/>
        <v>3.1656569168941164</v>
      </c>
      <c r="G449" s="306">
        <f t="shared" ca="1" si="185"/>
        <v>9.4608879231060357</v>
      </c>
      <c r="H449" s="307">
        <f t="shared" ca="1" si="186"/>
        <v>-95.455842866128606</v>
      </c>
      <c r="I449" s="304">
        <f t="shared" ca="1" si="187"/>
        <v>95.923544229644719</v>
      </c>
      <c r="J449" s="306">
        <f t="shared" ca="1" si="188"/>
        <v>715.47918863651364</v>
      </c>
      <c r="K449" s="307">
        <f t="shared" ca="1" si="189"/>
        <v>2199.6518957148264</v>
      </c>
      <c r="L449" s="304">
        <f t="shared" ca="1" si="174"/>
        <v>2313.0886130223794</v>
      </c>
      <c r="M449" s="306">
        <f t="shared" ca="1" si="190"/>
        <v>-1.4720062494552648</v>
      </c>
      <c r="N449" s="304">
        <f t="shared" ca="1" si="191"/>
        <v>-84.339745510668109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1.7842999999999964</v>
      </c>
      <c r="T449" s="304">
        <f t="shared" ca="1" si="175"/>
        <v>17.503982999999966</v>
      </c>
      <c r="U449" s="311">
        <f t="shared" ca="1" si="176"/>
        <v>0</v>
      </c>
      <c r="V449" s="306">
        <f t="shared" ca="1" si="177"/>
        <v>0.98224181758266305</v>
      </c>
      <c r="W449" s="304">
        <f t="shared" ca="1" si="178"/>
        <v>12.132097128816527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 t="e">
        <f t="shared" ca="1" si="179"/>
        <v>#N/A</v>
      </c>
      <c r="AG449" s="306">
        <f t="shared" ca="1" si="201"/>
        <v>3.0109587046645823</v>
      </c>
      <c r="AH449" s="304">
        <f t="shared" ca="1" si="202"/>
        <v>-6.7502189192553859</v>
      </c>
    </row>
    <row r="450" spans="1:34" x14ac:dyDescent="0.2">
      <c r="A450" s="347">
        <f t="shared" ca="1" si="180"/>
        <v>0.1</v>
      </c>
      <c r="B450" s="304">
        <f t="shared" ca="1" si="181"/>
        <v>37.300000000000246</v>
      </c>
      <c r="D450" s="306">
        <f t="shared" ca="1" si="182"/>
        <v>-0.67061719363770755</v>
      </c>
      <c r="E450" s="307">
        <f t="shared" ca="1" si="183"/>
        <v>-3.0437926440429575</v>
      </c>
      <c r="F450" s="304">
        <f t="shared" ca="1" si="184"/>
        <v>3.116793397120273</v>
      </c>
      <c r="G450" s="306">
        <f t="shared" ca="1" si="185"/>
        <v>9.3938262037422646</v>
      </c>
      <c r="H450" s="307">
        <f t="shared" ca="1" si="186"/>
        <v>-95.760222130532895</v>
      </c>
      <c r="I450" s="304">
        <f t="shared" ca="1" si="187"/>
        <v>96.219873795568432</v>
      </c>
      <c r="J450" s="306">
        <f t="shared" ca="1" si="188"/>
        <v>716.42192434285607</v>
      </c>
      <c r="K450" s="307">
        <f t="shared" ca="1" si="189"/>
        <v>2190.0910924649934</v>
      </c>
      <c r="L450" s="304">
        <f t="shared" ca="1" si="174"/>
        <v>2304.2915108496209</v>
      </c>
      <c r="M450" s="306">
        <f t="shared" ca="1" si="190"/>
        <v>-1.4730118163763131</v>
      </c>
      <c r="N450" s="304">
        <f t="shared" ca="1" si="191"/>
        <v>-84.397360251262143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1.7842999999999964</v>
      </c>
      <c r="T450" s="304">
        <f t="shared" ca="1" si="175"/>
        <v>17.503982999999966</v>
      </c>
      <c r="U450" s="311">
        <f t="shared" ca="1" si="176"/>
        <v>0</v>
      </c>
      <c r="V450" s="306">
        <f t="shared" ca="1" si="177"/>
        <v>0.98319282786264661</v>
      </c>
      <c r="W450" s="304">
        <f t="shared" ca="1" si="178"/>
        <v>12.218989533142246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 t="e">
        <f t="shared" ca="1" si="179"/>
        <v>#N/A</v>
      </c>
      <c r="AG450" s="306">
        <f t="shared" ca="1" si="201"/>
        <v>2.9628091885151253</v>
      </c>
      <c r="AH450" s="304">
        <f t="shared" ca="1" si="202"/>
        <v>-6.7993594848492691</v>
      </c>
    </row>
    <row r="451" spans="1:34" x14ac:dyDescent="0.2">
      <c r="A451" s="347">
        <f t="shared" ca="1" si="180"/>
        <v>0.1</v>
      </c>
      <c r="B451" s="304">
        <f t="shared" ca="1" si="181"/>
        <v>37.400000000000247</v>
      </c>
      <c r="D451" s="306">
        <f t="shared" ca="1" si="182"/>
        <v>-0.66856733720342032</v>
      </c>
      <c r="E451" s="307">
        <f t="shared" ca="1" si="183"/>
        <v>-2.9946560356509861</v>
      </c>
      <c r="F451" s="304">
        <f t="shared" ca="1" si="184"/>
        <v>3.0683785712059968</v>
      </c>
      <c r="G451" s="306">
        <f t="shared" ca="1" si="185"/>
        <v>9.3269694700219219</v>
      </c>
      <c r="H451" s="307">
        <f t="shared" ca="1" si="186"/>
        <v>-96.059687734097992</v>
      </c>
      <c r="I451" s="304">
        <f t="shared" ca="1" si="187"/>
        <v>96.511429204354528</v>
      </c>
      <c r="J451" s="306">
        <f t="shared" ca="1" si="188"/>
        <v>717.35796412654429</v>
      </c>
      <c r="K451" s="307">
        <f t="shared" ca="1" si="189"/>
        <v>2180.5000969717616</v>
      </c>
      <c r="L451" s="304">
        <f t="shared" ca="1" si="174"/>
        <v>2295.4701308424037</v>
      </c>
      <c r="M451" s="306">
        <f t="shared" ca="1" si="190"/>
        <v>-1.4740041736784182</v>
      </c>
      <c r="N451" s="304">
        <f t="shared" ca="1" si="191"/>
        <v>-84.454218136441753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1.7842999999999964</v>
      </c>
      <c r="T451" s="304">
        <f t="shared" ca="1" si="175"/>
        <v>17.503982999999966</v>
      </c>
      <c r="U451" s="311">
        <f t="shared" ca="1" si="176"/>
        <v>0</v>
      </c>
      <c r="V451" s="306">
        <f t="shared" ca="1" si="177"/>
        <v>0.98414766510110496</v>
      </c>
      <c r="W451" s="304">
        <f t="shared" ca="1" si="178"/>
        <v>12.305089745289687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 t="e">
        <f t="shared" ca="1" si="179"/>
        <v>#N/A</v>
      </c>
      <c r="AG451" s="306">
        <f t="shared" ca="1" si="201"/>
        <v>2.9150788786444055</v>
      </c>
      <c r="AH451" s="304">
        <f t="shared" ca="1" si="202"/>
        <v>-6.8480578003375383</v>
      </c>
    </row>
    <row r="452" spans="1:34" x14ac:dyDescent="0.2">
      <c r="A452" s="347">
        <f t="shared" ca="1" si="180"/>
        <v>0.1</v>
      </c>
      <c r="B452" s="304">
        <f t="shared" ca="1" si="181"/>
        <v>37.500000000000249</v>
      </c>
      <c r="D452" s="306">
        <f t="shared" ca="1" si="182"/>
        <v>-0.66646710429886513</v>
      </c>
      <c r="E452" s="307">
        <f t="shared" ca="1" si="183"/>
        <v>-2.9459674619105343</v>
      </c>
      <c r="F452" s="304">
        <f t="shared" ca="1" si="184"/>
        <v>3.0204143238549426</v>
      </c>
      <c r="G452" s="306">
        <f t="shared" ca="1" si="185"/>
        <v>9.2603227595920359</v>
      </c>
      <c r="H452" s="307">
        <f t="shared" ca="1" si="186"/>
        <v>-96.354284480289039</v>
      </c>
      <c r="I452" s="304">
        <f t="shared" ca="1" si="187"/>
        <v>96.798252646007441</v>
      </c>
      <c r="J452" s="306">
        <f t="shared" ca="1" si="188"/>
        <v>718.28732873802494</v>
      </c>
      <c r="K452" s="307">
        <f t="shared" ca="1" si="189"/>
        <v>2170.8793983610421</v>
      </c>
      <c r="L452" s="304">
        <f t="shared" ref="L452:L515" ca="1" si="203">SQRT(pos_x^2+pos_z^2)</f>
        <v>2286.6250345988096</v>
      </c>
      <c r="M452" s="306">
        <f t="shared" ca="1" si="190"/>
        <v>-1.4749835810474288</v>
      </c>
      <c r="N452" s="304">
        <f t="shared" ca="1" si="191"/>
        <v>-84.510334045110071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1.7842999999999964</v>
      </c>
      <c r="T452" s="304">
        <f t="shared" ref="T452:T515" ca="1" si="204">m*g</f>
        <v>17.503982999999966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0.98510628940691802</v>
      </c>
      <c r="W452" s="304">
        <f t="shared" ref="W452:W515" ca="1" si="207">1/2*Rho*Sref*Cx*vit_xz^2</f>
        <v>12.390395018317351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 t="e">
        <f t="shared" ref="AE452:AE515" ca="1" si="208">IF(t&lt;T_para, pos_z, NA())</f>
        <v>#N/A</v>
      </c>
      <c r="AG452" s="306">
        <f t="shared" ca="1" si="201"/>
        <v>2.8677701533704152</v>
      </c>
      <c r="AH452" s="304">
        <f t="shared" ca="1" si="202"/>
        <v>-6.8963121365744051</v>
      </c>
    </row>
    <row r="453" spans="1:34" x14ac:dyDescent="0.2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37.60000000000025</v>
      </c>
      <c r="D453" s="306">
        <f t="shared" ref="D453:D516" ca="1" si="211">IF(AND(L452&lt;L_rampe,Poussee&lt;Poids*SIN(M452)),0,(-W452+Poussee)/m*COS(M452)-U452/m*SIN(M452))</f>
        <v>-0.66431779043929351</v>
      </c>
      <c r="E453" s="307">
        <f t="shared" ref="E453:E516" ca="1" si="212">IF(AND(L452&lt;L_rampe,Poussee&lt;Poids*SIN(M452)),0,(-W452+Poussee)/m*SIN(M452)+U452/m*COS(M452)-Poids/m)</f>
        <v>-2.8977284704788584</v>
      </c>
      <c r="F453" s="304">
        <f t="shared" ref="F453:F516" ca="1" si="213">SQRT(acc_x^2+acc_z^2)</f>
        <v>2.9729023554967107</v>
      </c>
      <c r="G453" s="306">
        <f t="shared" ref="G453:G516" ca="1" si="214">G452+acc_x*pas</f>
        <v>9.1938909805481064</v>
      </c>
      <c r="H453" s="307">
        <f t="shared" ref="H453:H516" ca="1" si="215">H452+acc_z*pas</f>
        <v>-96.644057327336924</v>
      </c>
      <c r="I453" s="304">
        <f t="shared" ref="I453:I516" ca="1" si="216">SQRT(vit_x^2+vit_z^2)</f>
        <v>97.080386526073269</v>
      </c>
      <c r="J453" s="306">
        <f t="shared" ref="J453:J516" ca="1" si="217">J452+0.5*(vit_x+G452)*pas*(K452&gt;=0)</f>
        <v>719.21003942503194</v>
      </c>
      <c r="K453" s="307">
        <f t="shared" ref="K453:K516" ca="1" si="218">K452+0.5*(vit_z+H452)*pas</f>
        <v>2161.2294812706609</v>
      </c>
      <c r="L453" s="304">
        <f t="shared" ca="1" si="203"/>
        <v>2277.7567805898871</v>
      </c>
      <c r="M453" s="306">
        <f t="shared" ref="M453:M516" ca="1" si="219">IF(AND(L452&gt;L_rampe,G453&gt;0),ATAN2(G453,H453),$M$4)</f>
        <v>-1.4759502909878783</v>
      </c>
      <c r="N453" s="304">
        <f t="shared" ref="N453:N516" ca="1" si="220">DEGREES(Beta)</f>
        <v>-84.56572244471117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1.7842999999999964</v>
      </c>
      <c r="T453" s="304">
        <f t="shared" ca="1" si="204"/>
        <v>17.503982999999966</v>
      </c>
      <c r="U453" s="311">
        <f t="shared" ca="1" si="205"/>
        <v>0</v>
      </c>
      <c r="V453" s="306">
        <f t="shared" ca="1" si="206"/>
        <v>0.98606866121357839</v>
      </c>
      <c r="W453" s="304">
        <f t="shared" ca="1" si="207"/>
        <v>12.474902936162152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 t="e">
        <f t="shared" ca="1" si="208"/>
        <v>#N/A</v>
      </c>
      <c r="AG453" s="306">
        <f t="shared" ref="AG453:AG516" ca="1" si="230">IF(AND(L452&lt;L_rampe,Poussee&lt;Poids*SIN(M452)),0,(-W452+Poussee)/m-Poids*SIN(M452)/m)</f>
        <v>2.820885178943449</v>
      </c>
      <c r="AH453" s="304">
        <f t="shared" ref="AH453:AH516" ca="1" si="231">IF(AND(L452&lt;L_rampe,Poussee&lt;Poids*SIN(M452)), g*SIN(M452), (-W452+Poussee)/m)</f>
        <v>-6.9441209540533411</v>
      </c>
    </row>
    <row r="454" spans="1:34" x14ac:dyDescent="0.2">
      <c r="A454" s="347">
        <f t="shared" ca="1" si="209"/>
        <v>0.1</v>
      </c>
      <c r="B454" s="304">
        <f t="shared" ca="1" si="210"/>
        <v>37.700000000000252</v>
      </c>
      <c r="D454" s="306">
        <f t="shared" ca="1" si="211"/>
        <v>-0.6621206802242311</v>
      </c>
      <c r="E454" s="307">
        <f t="shared" ca="1" si="212"/>
        <v>-2.8499404221137468</v>
      </c>
      <c r="F454" s="304">
        <f t="shared" ca="1" si="213"/>
        <v>2.9258441866884297</v>
      </c>
      <c r="G454" s="306">
        <f t="shared" ca="1" si="214"/>
        <v>9.127678912525683</v>
      </c>
      <c r="H454" s="307">
        <f t="shared" ca="1" si="215"/>
        <v>-96.929051369548304</v>
      </c>
      <c r="I454" s="304">
        <f t="shared" ca="1" si="216"/>
        <v>97.357873444990048</v>
      </c>
      <c r="J454" s="306">
        <f t="shared" ca="1" si="217"/>
        <v>720.12611791968561</v>
      </c>
      <c r="K454" s="307">
        <f t="shared" ca="1" si="218"/>
        <v>2151.5508258358168</v>
      </c>
      <c r="L454" s="304">
        <f t="shared" ca="1" si="203"/>
        <v>2268.865924171118</v>
      </c>
      <c r="M454" s="306">
        <f t="shared" ca="1" si="219"/>
        <v>-1.4769045490701254</v>
      </c>
      <c r="N454" s="304">
        <f t="shared" ca="1" si="220"/>
        <v>-84.620397405390179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1.7842999999999964</v>
      </c>
      <c r="T454" s="304">
        <f t="shared" ca="1" si="204"/>
        <v>17.503982999999966</v>
      </c>
      <c r="U454" s="311">
        <f t="shared" ca="1" si="205"/>
        <v>0</v>
      </c>
      <c r="V454" s="306">
        <f t="shared" ca="1" si="206"/>
        <v>0.98703474128097057</v>
      </c>
      <c r="W454" s="304">
        <f t="shared" ca="1" si="207"/>
        <v>12.558611406143665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 t="e">
        <f t="shared" ca="1" si="208"/>
        <v>#N/A</v>
      </c>
      <c r="AG454" s="306">
        <f t="shared" ca="1" si="230"/>
        <v>2.774425914671955</v>
      </c>
      <c r="AH454" s="304">
        <f t="shared" ca="1" si="231"/>
        <v>-6.9914828987065949</v>
      </c>
    </row>
    <row r="455" spans="1:34" x14ac:dyDescent="0.2">
      <c r="A455" s="347">
        <f t="shared" ca="1" si="209"/>
        <v>0.1</v>
      </c>
      <c r="B455" s="304">
        <f t="shared" ca="1" si="210"/>
        <v>37.800000000000253</v>
      </c>
      <c r="D455" s="306">
        <f t="shared" ca="1" si="211"/>
        <v>-0.65987704697240757</v>
      </c>
      <c r="E455" s="307">
        <f t="shared" ca="1" si="212"/>
        <v>-2.8026044949059434</v>
      </c>
      <c r="F455" s="304">
        <f t="shared" ca="1" si="213"/>
        <v>2.8792411625266863</v>
      </c>
      <c r="G455" s="306">
        <f t="shared" ca="1" si="214"/>
        <v>9.0616912078284422</v>
      </c>
      <c r="H455" s="307">
        <f t="shared" ca="1" si="215"/>
        <v>-97.209311819038902</v>
      </c>
      <c r="I455" s="304">
        <f t="shared" ca="1" si="216"/>
        <v>97.630756177944107</v>
      </c>
      <c r="J455" s="306">
        <f t="shared" ca="1" si="217"/>
        <v>721.03558642570329</v>
      </c>
      <c r="K455" s="307">
        <f t="shared" ca="1" si="218"/>
        <v>2141.8439076763875</v>
      </c>
      <c r="L455" s="304">
        <f t="shared" ca="1" si="203"/>
        <v>2259.9530175963205</v>
      </c>
      <c r="M455" s="306">
        <f t="shared" ca="1" si="219"/>
        <v>-1.4778465941674843</v>
      </c>
      <c r="N455" s="304">
        <f t="shared" ca="1" si="220"/>
        <v>-84.674372613579834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1.7842999999999964</v>
      </c>
      <c r="T455" s="304">
        <f t="shared" ca="1" si="204"/>
        <v>17.503982999999966</v>
      </c>
      <c r="U455" s="311">
        <f t="shared" ca="1" si="205"/>
        <v>0</v>
      </c>
      <c r="V455" s="306">
        <f t="shared" ca="1" si="206"/>
        <v>0.98800449069700669</v>
      </c>
      <c r="W455" s="304">
        <f t="shared" ca="1" si="207"/>
        <v>12.641518651474112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 t="e">
        <f t="shared" ca="1" si="208"/>
        <v>#N/A</v>
      </c>
      <c r="AG455" s="306">
        <f t="shared" ca="1" si="230"/>
        <v>2.7283941180046867</v>
      </c>
      <c r="AH455" s="304">
        <f t="shared" ca="1" si="231"/>
        <v>-7.0383967977042481</v>
      </c>
    </row>
    <row r="456" spans="1:34" x14ac:dyDescent="0.2">
      <c r="A456" s="347">
        <f t="shared" ca="1" si="209"/>
        <v>0.1</v>
      </c>
      <c r="B456" s="304">
        <f t="shared" ca="1" si="210"/>
        <v>37.900000000000254</v>
      </c>
      <c r="D456" s="306">
        <f t="shared" ca="1" si="211"/>
        <v>-0.65758815237592283</v>
      </c>
      <c r="E456" s="307">
        <f t="shared" ca="1" si="212"/>
        <v>-2.7557216885085687</v>
      </c>
      <c r="F456" s="304">
        <f t="shared" ca="1" si="213"/>
        <v>2.8330944570666357</v>
      </c>
      <c r="G456" s="306">
        <f t="shared" ca="1" si="214"/>
        <v>8.9959323925908503</v>
      </c>
      <c r="H456" s="307">
        <f t="shared" ca="1" si="215"/>
        <v>-97.484883987889759</v>
      </c>
      <c r="I456" s="304">
        <f t="shared" ca="1" si="216"/>
        <v>97.89907765522814</v>
      </c>
      <c r="J456" s="306">
        <f t="shared" ca="1" si="217"/>
        <v>721.93846760572421</v>
      </c>
      <c r="K456" s="307">
        <f t="shared" ca="1" si="218"/>
        <v>2132.1091978860409</v>
      </c>
      <c r="L456" s="304">
        <f t="shared" ca="1" si="203"/>
        <v>2251.0186100339461</v>
      </c>
      <c r="M456" s="306">
        <f t="shared" ca="1" si="219"/>
        <v>-1.4787766586838096</v>
      </c>
      <c r="N456" s="304">
        <f t="shared" ca="1" si="220"/>
        <v>-84.72766138504015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1.7842999999999964</v>
      </c>
      <c r="T456" s="304">
        <f t="shared" ca="1" si="204"/>
        <v>17.503982999999966</v>
      </c>
      <c r="U456" s="311">
        <f t="shared" ca="1" si="205"/>
        <v>0</v>
      </c>
      <c r="V456" s="306">
        <f t="shared" ca="1" si="206"/>
        <v>0.98897787087912326</v>
      </c>
      <c r="W456" s="304">
        <f t="shared" ca="1" si="207"/>
        <v>12.723623203780706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 t="e">
        <f t="shared" ca="1" si="208"/>
        <v>#N/A</v>
      </c>
      <c r="AG456" s="306">
        <f t="shared" ca="1" si="230"/>
        <v>2.6827913495678954</v>
      </c>
      <c r="AH456" s="304">
        <f t="shared" ca="1" si="231"/>
        <v>-7.0848616552564794</v>
      </c>
    </row>
    <row r="457" spans="1:34" x14ac:dyDescent="0.2">
      <c r="A457" s="347">
        <f t="shared" ca="1" si="209"/>
        <v>0.1</v>
      </c>
      <c r="B457" s="304">
        <f t="shared" ca="1" si="210"/>
        <v>38.000000000000256</v>
      </c>
      <c r="D457" s="306">
        <f t="shared" ca="1" si="211"/>
        <v>-0.65525524617330533</v>
      </c>
      <c r="E457" s="307">
        <f t="shared" ca="1" si="212"/>
        <v>-2.7092928283597431</v>
      </c>
      <c r="F457" s="304">
        <f t="shared" ca="1" si="213"/>
        <v>2.7874050777451016</v>
      </c>
      <c r="G457" s="306">
        <f t="shared" ca="1" si="214"/>
        <v>8.9304068679735202</v>
      </c>
      <c r="H457" s="307">
        <f t="shared" ca="1" si="215"/>
        <v>-97.755813270725739</v>
      </c>
      <c r="I457" s="304">
        <f t="shared" ca="1" si="216"/>
        <v>98.162880943096553</v>
      </c>
      <c r="J457" s="306">
        <f t="shared" ca="1" si="217"/>
        <v>722.83478456875241</v>
      </c>
      <c r="K457" s="307">
        <f t="shared" ca="1" si="218"/>
        <v>2122.3471630231102</v>
      </c>
      <c r="L457" s="304">
        <f t="shared" ca="1" si="203"/>
        <v>2242.0632475857587</v>
      </c>
      <c r="M457" s="306">
        <f t="shared" ca="1" si="219"/>
        <v>-1.4796949687719794</v>
      </c>
      <c r="N457" s="304">
        <f t="shared" ca="1" si="220"/>
        <v>-84.780276677376563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1.7842999999999964</v>
      </c>
      <c r="T457" s="304">
        <f t="shared" ca="1" si="204"/>
        <v>17.503982999999966</v>
      </c>
      <c r="U457" s="311">
        <f t="shared" ca="1" si="205"/>
        <v>0</v>
      </c>
      <c r="V457" s="306">
        <f t="shared" ca="1" si="206"/>
        <v>0.98995484357564645</v>
      </c>
      <c r="W457" s="304">
        <f t="shared" ca="1" si="207"/>
        <v>12.80492389564662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>
        <f t="shared" ca="1" si="228"/>
        <v>38.000000000000256</v>
      </c>
      <c r="AD457" s="323">
        <f t="shared" ca="1" si="229"/>
        <v>722.83478456875241</v>
      </c>
      <c r="AE457" s="324" t="e">
        <f t="shared" ca="1" si="208"/>
        <v>#N/A</v>
      </c>
      <c r="AG457" s="306">
        <f t="shared" ca="1" si="230"/>
        <v>2.6376189781560813</v>
      </c>
      <c r="AH457" s="304">
        <f t="shared" ca="1" si="231"/>
        <v>-7.1308766484227606</v>
      </c>
    </row>
    <row r="458" spans="1:34" x14ac:dyDescent="0.2">
      <c r="A458" s="347">
        <f t="shared" ca="1" si="209"/>
        <v>0.1</v>
      </c>
      <c r="B458" s="304">
        <f t="shared" ca="1" si="210"/>
        <v>38.100000000000257</v>
      </c>
      <c r="D458" s="306">
        <f t="shared" ca="1" si="211"/>
        <v>-0.65287956584104323</v>
      </c>
      <c r="E458" s="307">
        <f t="shared" ca="1" si="212"/>
        <v>-2.6633185698948854</v>
      </c>
      <c r="F458" s="304">
        <f t="shared" ca="1" si="213"/>
        <v>2.742173869804708</v>
      </c>
      <c r="G458" s="306">
        <f t="shared" ca="1" si="214"/>
        <v>8.8651189113894162</v>
      </c>
      <c r="H458" s="307">
        <f t="shared" ca="1" si="215"/>
        <v>-98.022145127715234</v>
      </c>
      <c r="I458" s="304">
        <f t="shared" ca="1" si="216"/>
        <v>98.422209225113122</v>
      </c>
      <c r="J458" s="306">
        <f t="shared" ca="1" si="217"/>
        <v>723.72456085772058</v>
      </c>
      <c r="K458" s="307">
        <f t="shared" ca="1" si="218"/>
        <v>2112.5582651031882</v>
      </c>
      <c r="L458" s="304">
        <f t="shared" ca="1" si="203"/>
        <v>2233.0874733078622</v>
      </c>
      <c r="M458" s="306">
        <f t="shared" ca="1" si="219"/>
        <v>-1.4806017445436923</v>
      </c>
      <c r="N458" s="304">
        <f t="shared" ca="1" si="220"/>
        <v>-84.832231102060433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1.7842999999999964</v>
      </c>
      <c r="T458" s="304">
        <f t="shared" ca="1" si="204"/>
        <v>17.503982999999966</v>
      </c>
      <c r="U458" s="311">
        <f t="shared" ca="1" si="205"/>
        <v>0</v>
      </c>
      <c r="V458" s="306">
        <f t="shared" ca="1" si="206"/>
        <v>0.99093537086701922</v>
      </c>
      <c r="W458" s="304">
        <f t="shared" ca="1" si="207"/>
        <v>12.885419853176405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 t="e">
        <f t="shared" ca="1" si="208"/>
        <v>#N/A</v>
      </c>
      <c r="AG458" s="306">
        <f t="shared" ca="1" si="230"/>
        <v>2.5928781856748673</v>
      </c>
      <c r="AH458" s="304">
        <f t="shared" ca="1" si="231"/>
        <v>-7.1764411229314833</v>
      </c>
    </row>
    <row r="459" spans="1:34" x14ac:dyDescent="0.2">
      <c r="A459" s="347">
        <f t="shared" ca="1" si="209"/>
        <v>0.1</v>
      </c>
      <c r="B459" s="304">
        <f t="shared" ca="1" si="210"/>
        <v>38.200000000000259</v>
      </c>
      <c r="D459" s="306">
        <f t="shared" ca="1" si="211"/>
        <v>-0.65046233630323447</v>
      </c>
      <c r="E459" s="307">
        <f t="shared" ca="1" si="212"/>
        <v>-2.6177994027453613</v>
      </c>
      <c r="F459" s="304">
        <f t="shared" ca="1" si="213"/>
        <v>2.6974015207163786</v>
      </c>
      <c r="G459" s="306">
        <f t="shared" ca="1" si="214"/>
        <v>8.8000726777590934</v>
      </c>
      <c r="H459" s="307">
        <f t="shared" ca="1" si="215"/>
        <v>-98.28392506798977</v>
      </c>
      <c r="I459" s="304">
        <f t="shared" ca="1" si="216"/>
        <v>98.677105783986534</v>
      </c>
      <c r="J459" s="306">
        <f t="shared" ca="1" si="217"/>
        <v>724.60782043717802</v>
      </c>
      <c r="K459" s="307">
        <f t="shared" ca="1" si="218"/>
        <v>2102.7429615934029</v>
      </c>
      <c r="L459" s="304">
        <f t="shared" ca="1" si="203"/>
        <v>2224.0918272340541</v>
      </c>
      <c r="M459" s="306">
        <f t="shared" ca="1" si="219"/>
        <v>-1.4814972002709812</v>
      </c>
      <c r="N459" s="304">
        <f t="shared" ca="1" si="220"/>
        <v>-84.883536935974902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1.7842999999999964</v>
      </c>
      <c r="T459" s="304">
        <f t="shared" ca="1" si="204"/>
        <v>17.503982999999966</v>
      </c>
      <c r="U459" s="311">
        <f t="shared" ca="1" si="205"/>
        <v>0</v>
      </c>
      <c r="V459" s="306">
        <f t="shared" ca="1" si="206"/>
        <v>0.99191941516690185</v>
      </c>
      <c r="W459" s="304">
        <f t="shared" ca="1" si="207"/>
        <v>12.965110488591735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 t="e">
        <f t="shared" ca="1" si="208"/>
        <v>#N/A</v>
      </c>
      <c r="AG459" s="306">
        <f t="shared" ca="1" si="230"/>
        <v>2.5485699720347395</v>
      </c>
      <c r="AH459" s="304">
        <f t="shared" ca="1" si="231"/>
        <v>-7.2215545890132997</v>
      </c>
    </row>
    <row r="460" spans="1:34" x14ac:dyDescent="0.2">
      <c r="A460" s="347">
        <f t="shared" ca="1" si="209"/>
        <v>0.1</v>
      </c>
      <c r="B460" s="304">
        <f t="shared" ca="1" si="210"/>
        <v>38.30000000000026</v>
      </c>
      <c r="D460" s="306">
        <f t="shared" ca="1" si="211"/>
        <v>-0.64800476965891751</v>
      </c>
      <c r="E460" s="307">
        <f t="shared" ca="1" si="212"/>
        <v>-2.5727356549201748</v>
      </c>
      <c r="F460" s="304">
        <f t="shared" ca="1" si="213"/>
        <v>2.6530885645975424</v>
      </c>
      <c r="G460" s="306">
        <f t="shared" ca="1" si="214"/>
        <v>8.7352722007932009</v>
      </c>
      <c r="H460" s="307">
        <f t="shared" ca="1" si="215"/>
        <v>-98.541198633481784</v>
      </c>
      <c r="I460" s="304">
        <f t="shared" ca="1" si="216"/>
        <v>98.927613983888548</v>
      </c>
      <c r="J460" s="306">
        <f t="shared" ca="1" si="217"/>
        <v>725.48458768110561</v>
      </c>
      <c r="K460" s="307">
        <f t="shared" ca="1" si="218"/>
        <v>2092.9017054083292</v>
      </c>
      <c r="L460" s="304">
        <f t="shared" ca="1" si="203"/>
        <v>2215.0768464014777</v>
      </c>
      <c r="M460" s="306">
        <f t="shared" ca="1" si="219"/>
        <v>-1.4823815445798136</v>
      </c>
      <c r="N460" s="304">
        <f t="shared" ca="1" si="220"/>
        <v>-84.934206132507413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1.7842999999999964</v>
      </c>
      <c r="T460" s="304">
        <f t="shared" ca="1" si="204"/>
        <v>17.503982999999966</v>
      </c>
      <c r="U460" s="311">
        <f t="shared" ca="1" si="205"/>
        <v>0</v>
      </c>
      <c r="V460" s="306">
        <f t="shared" ca="1" si="206"/>
        <v>0.99290693922314543</v>
      </c>
      <c r="W460" s="304">
        <f t="shared" ca="1" si="207"/>
        <v>13.043995492862912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 t="e">
        <f t="shared" ca="1" si="208"/>
        <v>#N/A</v>
      </c>
      <c r="AG460" s="306">
        <f t="shared" ca="1" si="230"/>
        <v>2.5046951599942027</v>
      </c>
      <c r="AH460" s="304">
        <f t="shared" ca="1" si="231"/>
        <v>-7.2662167172514494</v>
      </c>
    </row>
    <row r="461" spans="1:34" x14ac:dyDescent="0.2">
      <c r="A461" s="347">
        <f t="shared" ca="1" si="209"/>
        <v>0.1</v>
      </c>
      <c r="B461" s="304">
        <f t="shared" ca="1" si="210"/>
        <v>38.400000000000261</v>
      </c>
      <c r="D461" s="306">
        <f t="shared" ca="1" si="211"/>
        <v>-0.64550806492673052</v>
      </c>
      <c r="E461" s="307">
        <f t="shared" ca="1" si="212"/>
        <v>-2.5281274969675946</v>
      </c>
      <c r="F461" s="304">
        <f t="shared" ca="1" si="213"/>
        <v>2.609235386623654</v>
      </c>
      <c r="G461" s="306">
        <f t="shared" ca="1" si="214"/>
        <v>8.6707213943005286</v>
      </c>
      <c r="H461" s="307">
        <f t="shared" ca="1" si="215"/>
        <v>-98.794011383178542</v>
      </c>
      <c r="I461" s="304">
        <f t="shared" ca="1" si="216"/>
        <v>99.173777253249725</v>
      </c>
      <c r="J461" s="306">
        <f t="shared" ca="1" si="217"/>
        <v>726.35488736086029</v>
      </c>
      <c r="K461" s="307">
        <f t="shared" ca="1" si="218"/>
        <v>2083.0349449074961</v>
      </c>
      <c r="L461" s="304">
        <f t="shared" ca="1" si="203"/>
        <v>2206.0430648785582</v>
      </c>
      <c r="M461" s="306">
        <f t="shared" ca="1" si="219"/>
        <v>-1.4832549806361419</v>
      </c>
      <c r="N461" s="304">
        <f t="shared" ca="1" si="220"/>
        <v>-84.984250332209584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1.7842999999999964</v>
      </c>
      <c r="T461" s="304">
        <f t="shared" ca="1" si="204"/>
        <v>17.503982999999966</v>
      </c>
      <c r="U461" s="311">
        <f t="shared" ca="1" si="205"/>
        <v>0</v>
      </c>
      <c r="V461" s="306">
        <f t="shared" ca="1" si="206"/>
        <v>0.99389790611864004</v>
      </c>
      <c r="W461" s="304">
        <f t="shared" ca="1" si="207"/>
        <v>13.12207482838126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 t="e">
        <f t="shared" ca="1" si="208"/>
        <v>#N/A</v>
      </c>
      <c r="AG461" s="306">
        <f t="shared" ca="1" si="230"/>
        <v>2.4612543999510867</v>
      </c>
      <c r="AH461" s="304">
        <f t="shared" ca="1" si="231"/>
        <v>-7.3104273344521316</v>
      </c>
    </row>
    <row r="462" spans="1:34" x14ac:dyDescent="0.2">
      <c r="A462" s="347">
        <f t="shared" ca="1" si="209"/>
        <v>0.1</v>
      </c>
      <c r="B462" s="304">
        <f t="shared" ca="1" si="210"/>
        <v>38.500000000000263</v>
      </c>
      <c r="D462" s="306">
        <f t="shared" ca="1" si="211"/>
        <v>-0.64297340780645929</v>
      </c>
      <c r="E462" s="307">
        <f t="shared" ca="1" si="212"/>
        <v>-2.4839749461138299</v>
      </c>
      <c r="F462" s="304">
        <f t="shared" ca="1" si="213"/>
        <v>2.565842227430879</v>
      </c>
      <c r="G462" s="306">
        <f t="shared" ca="1" si="214"/>
        <v>8.6064240535198824</v>
      </c>
      <c r="H462" s="307">
        <f t="shared" ca="1" si="215"/>
        <v>-99.042408877789924</v>
      </c>
      <c r="I462" s="304">
        <f t="shared" ca="1" si="216"/>
        <v>99.415639068027545</v>
      </c>
      <c r="J462" s="306">
        <f t="shared" ca="1" si="217"/>
        <v>727.21874463325128</v>
      </c>
      <c r="K462" s="307">
        <f t="shared" ca="1" si="218"/>
        <v>2073.1431238944479</v>
      </c>
      <c r="L462" s="304">
        <f t="shared" ca="1" si="203"/>
        <v>2196.9910137951842</v>
      </c>
      <c r="M462" s="306">
        <f t="shared" ca="1" si="219"/>
        <v>-1.4841177063247373</v>
      </c>
      <c r="N462" s="304">
        <f t="shared" ca="1" si="220"/>
        <v>-85.033680873043608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1.7842999999999964</v>
      </c>
      <c r="T462" s="304">
        <f t="shared" ca="1" si="204"/>
        <v>17.503982999999966</v>
      </c>
      <c r="U462" s="311">
        <f t="shared" ca="1" si="205"/>
        <v>0</v>
      </c>
      <c r="V462" s="306">
        <f t="shared" ca="1" si="206"/>
        <v>0.99489227927203983</v>
      </c>
      <c r="W462" s="304">
        <f t="shared" ca="1" si="207"/>
        <v>13.199348721677435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 t="e">
        <f t="shared" ca="1" si="208"/>
        <v>#N/A</v>
      </c>
      <c r="AG462" s="306">
        <f t="shared" ca="1" si="230"/>
        <v>2.4182481746807474</v>
      </c>
      <c r="AH462" s="304">
        <f t="shared" ca="1" si="231"/>
        <v>-7.3541864195377942</v>
      </c>
    </row>
    <row r="463" spans="1:34" x14ac:dyDescent="0.2">
      <c r="A463" s="347">
        <f t="shared" ca="1" si="209"/>
        <v>0.1</v>
      </c>
      <c r="B463" s="304">
        <f t="shared" ca="1" si="210"/>
        <v>38.600000000000264</v>
      </c>
      <c r="D463" s="306">
        <f t="shared" ca="1" si="211"/>
        <v>-0.64040197045710268</v>
      </c>
      <c r="E463" s="307">
        <f t="shared" ca="1" si="212"/>
        <v>-2.4402778703758958</v>
      </c>
      <c r="F463" s="304">
        <f t="shared" ca="1" si="213"/>
        <v>2.5229091875078771</v>
      </c>
      <c r="G463" s="306">
        <f t="shared" ca="1" si="214"/>
        <v>8.5423838564741725</v>
      </c>
      <c r="H463" s="307">
        <f t="shared" ca="1" si="215"/>
        <v>-99.286436664827519</v>
      </c>
      <c r="I463" s="304">
        <f t="shared" ca="1" si="216"/>
        <v>99.653242935441682</v>
      </c>
      <c r="J463" s="306">
        <f t="shared" ca="1" si="217"/>
        <v>728.07618502875096</v>
      </c>
      <c r="K463" s="307">
        <f t="shared" ca="1" si="218"/>
        <v>2063.2266816173169</v>
      </c>
      <c r="L463" s="304">
        <f t="shared" ca="1" si="203"/>
        <v>2187.9212213751266</v>
      </c>
      <c r="M463" s="306">
        <f t="shared" ca="1" si="219"/>
        <v>-1.4849699144211348</v>
      </c>
      <c r="N463" s="304">
        <f t="shared" ca="1" si="220"/>
        <v>-85.082508800234066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1.7842999999999964</v>
      </c>
      <c r="T463" s="304">
        <f t="shared" ca="1" si="204"/>
        <v>17.503982999999966</v>
      </c>
      <c r="U463" s="311">
        <f t="shared" ca="1" si="205"/>
        <v>0</v>
      </c>
      <c r="V463" s="306">
        <f t="shared" ca="1" si="206"/>
        <v>0.99589002243837321</v>
      </c>
      <c r="W463" s="304">
        <f t="shared" ca="1" si="207"/>
        <v>13.275817656190462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 t="e">
        <f t="shared" ca="1" si="208"/>
        <v>#N/A</v>
      </c>
      <c r="AG463" s="306">
        <f t="shared" ca="1" si="230"/>
        <v>2.3756768040199097</v>
      </c>
      <c r="AH463" s="304">
        <f t="shared" ca="1" si="231"/>
        <v>-7.3974940994661553</v>
      </c>
    </row>
    <row r="464" spans="1:34" x14ac:dyDescent="0.2">
      <c r="A464" s="347">
        <f t="shared" ca="1" si="209"/>
        <v>0.1</v>
      </c>
      <c r="B464" s="304">
        <f t="shared" ca="1" si="210"/>
        <v>38.700000000000266</v>
      </c>
      <c r="D464" s="306">
        <f t="shared" ca="1" si="211"/>
        <v>-0.6377949112910225</v>
      </c>
      <c r="E464" s="307">
        <f t="shared" ca="1" si="212"/>
        <v>-2.3970359926459377</v>
      </c>
      <c r="F464" s="304">
        <f t="shared" ca="1" si="213"/>
        <v>2.4804362315747648</v>
      </c>
      <c r="G464" s="306">
        <f t="shared" ca="1" si="214"/>
        <v>8.4786043653450704</v>
      </c>
      <c r="H464" s="307">
        <f t="shared" ca="1" si="215"/>
        <v>-99.526140264092106</v>
      </c>
      <c r="I464" s="304">
        <f t="shared" ca="1" si="216"/>
        <v>99.886632378170532</v>
      </c>
      <c r="J464" s="306">
        <f t="shared" ca="1" si="217"/>
        <v>728.92723443984187</v>
      </c>
      <c r="K464" s="307">
        <f t="shared" ca="1" si="218"/>
        <v>2053.2860527708708</v>
      </c>
      <c r="L464" s="304">
        <f t="shared" ca="1" si="203"/>
        <v>2178.8342129706657</v>
      </c>
      <c r="M464" s="306">
        <f t="shared" ca="1" si="219"/>
        <v>-1.4858117927569885</v>
      </c>
      <c r="N464" s="304">
        <f t="shared" ca="1" si="220"/>
        <v>-85.130744875741982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1.7842999999999964</v>
      </c>
      <c r="T464" s="304">
        <f t="shared" ca="1" si="204"/>
        <v>17.503982999999966</v>
      </c>
      <c r="U464" s="311">
        <f t="shared" ca="1" si="205"/>
        <v>0</v>
      </c>
      <c r="V464" s="306">
        <f t="shared" ca="1" si="206"/>
        <v>0.99689109970953438</v>
      </c>
      <c r="W464" s="304">
        <f t="shared" ca="1" si="207"/>
        <v>13.35148236509179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 t="e">
        <f t="shared" ca="1" si="208"/>
        <v>#N/A</v>
      </c>
      <c r="AG464" s="306">
        <f t="shared" ca="1" si="230"/>
        <v>2.3335404494949401</v>
      </c>
      <c r="AH464" s="304">
        <f t="shared" ca="1" si="231"/>
        <v>-7.440350645177654</v>
      </c>
    </row>
    <row r="465" spans="1:34" x14ac:dyDescent="0.2">
      <c r="A465" s="347">
        <f t="shared" ca="1" si="209"/>
        <v>0.1</v>
      </c>
      <c r="B465" s="304">
        <f t="shared" ca="1" si="210"/>
        <v>38.800000000000267</v>
      </c>
      <c r="D465" s="306">
        <f t="shared" ca="1" si="211"/>
        <v>-0.63515337478380951</v>
      </c>
      <c r="E465" s="307">
        <f t="shared" ca="1" si="212"/>
        <v>-2.354248894744587</v>
      </c>
      <c r="F465" s="304">
        <f t="shared" ca="1" si="213"/>
        <v>2.4384231929477238</v>
      </c>
      <c r="G465" s="306">
        <f t="shared" ca="1" si="214"/>
        <v>8.4150890278666903</v>
      </c>
      <c r="H465" s="307">
        <f t="shared" ca="1" si="215"/>
        <v>-99.761565153566565</v>
      </c>
      <c r="I465" s="304">
        <f t="shared" ca="1" si="216"/>
        <v>100.11585091900398</v>
      </c>
      <c r="J465" s="306">
        <f t="shared" ca="1" si="217"/>
        <v>729.77191910950251</v>
      </c>
      <c r="K465" s="307">
        <f t="shared" ca="1" si="218"/>
        <v>2043.3216674999878</v>
      </c>
      <c r="L465" s="304">
        <f t="shared" ca="1" si="203"/>
        <v>2169.7305110994075</v>
      </c>
      <c r="M465" s="306">
        <f t="shared" ca="1" si="219"/>
        <v>-1.4866435243791336</v>
      </c>
      <c r="N465" s="304">
        <f t="shared" ca="1" si="220"/>
        <v>-85.178399587378465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1.7842999999999964</v>
      </c>
      <c r="T465" s="304">
        <f t="shared" ca="1" si="204"/>
        <v>17.503982999999966</v>
      </c>
      <c r="U465" s="311">
        <f t="shared" ca="1" si="205"/>
        <v>0</v>
      </c>
      <c r="V465" s="306">
        <f t="shared" ca="1" si="206"/>
        <v>0.99789547551466018</v>
      </c>
      <c r="W465" s="304">
        <f t="shared" ca="1" si="207"/>
        <v>13.426343824168793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 t="e">
        <f t="shared" ca="1" si="208"/>
        <v>#N/A</v>
      </c>
      <c r="AG465" s="306">
        <f t="shared" ca="1" si="230"/>
        <v>2.2918391188935274</v>
      </c>
      <c r="AH465" s="304">
        <f t="shared" ca="1" si="231"/>
        <v>-7.4827564675737364</v>
      </c>
    </row>
    <row r="466" spans="1:34" x14ac:dyDescent="0.2">
      <c r="A466" s="347">
        <f t="shared" ca="1" si="209"/>
        <v>0.1</v>
      </c>
      <c r="B466" s="304">
        <f t="shared" ca="1" si="210"/>
        <v>38.900000000000269</v>
      </c>
      <c r="D466" s="306">
        <f t="shared" ca="1" si="211"/>
        <v>-0.63247849129941636</v>
      </c>
      <c r="E466" s="307">
        <f t="shared" ca="1" si="212"/>
        <v>-2.3119160214408474</v>
      </c>
      <c r="F466" s="304">
        <f t="shared" ca="1" si="213"/>
        <v>2.3968697778876646</v>
      </c>
      <c r="G466" s="306">
        <f t="shared" ca="1" si="214"/>
        <v>8.3518411787367484</v>
      </c>
      <c r="H466" s="307">
        <f t="shared" ca="1" si="215"/>
        <v>-99.992756755710644</v>
      </c>
      <c r="I466" s="304">
        <f t="shared" ca="1" si="216"/>
        <v>100.34094206594614</v>
      </c>
      <c r="J466" s="306">
        <f t="shared" ca="1" si="217"/>
        <v>730.61026561983272</v>
      </c>
      <c r="K466" s="307">
        <f t="shared" ca="1" si="218"/>
        <v>2033.333951404524</v>
      </c>
      <c r="L466" s="304">
        <f t="shared" ca="1" si="203"/>
        <v>2160.6106354832696</v>
      </c>
      <c r="M466" s="306">
        <f t="shared" ca="1" si="219"/>
        <v>-1.4874652877026266</v>
      </c>
      <c r="N466" s="304">
        <f t="shared" ca="1" si="220"/>
        <v>-85.225483157573265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1.7842999999999964</v>
      </c>
      <c r="T466" s="304">
        <f t="shared" ca="1" si="204"/>
        <v>17.503982999999966</v>
      </c>
      <c r="U466" s="311">
        <f t="shared" ca="1" si="205"/>
        <v>0</v>
      </c>
      <c r="V466" s="306">
        <f t="shared" ca="1" si="206"/>
        <v>0.99890311462040315</v>
      </c>
      <c r="W466" s="304">
        <f t="shared" ca="1" si="207"/>
        <v>13.500403244771665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 t="e">
        <f t="shared" ca="1" si="208"/>
        <v>#N/A</v>
      </c>
      <c r="AG466" s="306">
        <f t="shared" ca="1" si="230"/>
        <v>2.2505726707785509</v>
      </c>
      <c r="AH466" s="304">
        <f t="shared" ca="1" si="231"/>
        <v>-7.5247121135284534</v>
      </c>
    </row>
    <row r="467" spans="1:34" x14ac:dyDescent="0.2">
      <c r="A467" s="347">
        <f t="shared" ca="1" si="209"/>
        <v>0.1</v>
      </c>
      <c r="B467" s="304">
        <f t="shared" ca="1" si="210"/>
        <v>39.00000000000027</v>
      </c>
      <c r="D467" s="306">
        <f t="shared" ca="1" si="211"/>
        <v>-0.62977137693019325</v>
      </c>
      <c r="E467" s="307">
        <f t="shared" ca="1" si="212"/>
        <v>-2.2700366844362421</v>
      </c>
      <c r="F467" s="304">
        <f t="shared" ca="1" si="213"/>
        <v>2.35577556993166</v>
      </c>
      <c r="G467" s="306">
        <f t="shared" ca="1" si="214"/>
        <v>8.2888640410437286</v>
      </c>
      <c r="H467" s="307">
        <f t="shared" ca="1" si="215"/>
        <v>-100.21976042415427</v>
      </c>
      <c r="I467" s="304">
        <f t="shared" ca="1" si="216"/>
        <v>100.56194929776265</v>
      </c>
      <c r="J467" s="306">
        <f t="shared" ca="1" si="217"/>
        <v>731.44230088082179</v>
      </c>
      <c r="K467" s="307">
        <f t="shared" ca="1" si="218"/>
        <v>2023.3233255455307</v>
      </c>
      <c r="L467" s="304">
        <f t="shared" ca="1" si="203"/>
        <v>2151.4751030896118</v>
      </c>
      <c r="M467" s="306">
        <f t="shared" ca="1" si="219"/>
        <v>-1.4882772566580265</v>
      </c>
      <c r="N467" s="304">
        <f t="shared" ca="1" si="220"/>
        <v>-85.272005551813308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1.7842999999999964</v>
      </c>
      <c r="T467" s="304">
        <f t="shared" ca="1" si="204"/>
        <v>17.503982999999966</v>
      </c>
      <c r="U467" s="311">
        <f t="shared" ca="1" si="205"/>
        <v>0</v>
      </c>
      <c r="V467" s="306">
        <f t="shared" ca="1" si="206"/>
        <v>0.99991398213108884</v>
      </c>
      <c r="W467" s="304">
        <f t="shared" ca="1" si="207"/>
        <v>13.573662066827469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>
        <f t="shared" ca="1" si="228"/>
        <v>39.00000000000027</v>
      </c>
      <c r="AD467" s="323">
        <f t="shared" ca="1" si="229"/>
        <v>731.44230088082179</v>
      </c>
      <c r="AE467" s="324" t="e">
        <f t="shared" ca="1" si="208"/>
        <v>#N/A</v>
      </c>
      <c r="AG467" s="306">
        <f t="shared" ca="1" si="230"/>
        <v>2.2097408189432182</v>
      </c>
      <c r="AH467" s="304">
        <f t="shared" ca="1" si="231"/>
        <v>-7.5662182619356004</v>
      </c>
    </row>
    <row r="468" spans="1:34" x14ac:dyDescent="0.2">
      <c r="A468" s="347">
        <f t="shared" ca="1" si="209"/>
        <v>0.1</v>
      </c>
      <c r="B468" s="304">
        <f t="shared" ca="1" si="210"/>
        <v>39.100000000000271</v>
      </c>
      <c r="D468" s="306">
        <f t="shared" ca="1" si="211"/>
        <v>-0.62703313335140409</v>
      </c>
      <c r="E468" s="307">
        <f t="shared" ca="1" si="212"/>
        <v>-2.2286100663111359</v>
      </c>
      <c r="F468" s="304">
        <f t="shared" ca="1" si="213"/>
        <v>2.3151400342060962</v>
      </c>
      <c r="G468" s="306">
        <f t="shared" ca="1" si="214"/>
        <v>8.2261607277085886</v>
      </c>
      <c r="H468" s="307">
        <f t="shared" ca="1" si="215"/>
        <v>-100.44262143078539</v>
      </c>
      <c r="I468" s="304">
        <f t="shared" ca="1" si="216"/>
        <v>100.77891604996636</v>
      </c>
      <c r="J468" s="306">
        <f t="shared" ca="1" si="217"/>
        <v>732.26805211925944</v>
      </c>
      <c r="K468" s="307">
        <f t="shared" ca="1" si="218"/>
        <v>2013.2902064527837</v>
      </c>
      <c r="L468" s="304">
        <f t="shared" ca="1" si="203"/>
        <v>2142.3244281745069</v>
      </c>
      <c r="M468" s="306">
        <f t="shared" ca="1" si="219"/>
        <v>-1.4890796008331693</v>
      </c>
      <c r="N468" s="304">
        <f t="shared" ca="1" si="220"/>
        <v>-85.3179764867659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1.7842999999999964</v>
      </c>
      <c r="T468" s="304">
        <f t="shared" ca="1" si="204"/>
        <v>17.503982999999966</v>
      </c>
      <c r="U468" s="311">
        <f t="shared" ca="1" si="205"/>
        <v>0</v>
      </c>
      <c r="V468" s="306">
        <f t="shared" ca="1" si="206"/>
        <v>1.0009280434887724</v>
      </c>
      <c r="W468" s="304">
        <f t="shared" ca="1" si="207"/>
        <v>13.646121951924938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 t="e">
        <f t="shared" ca="1" si="208"/>
        <v>#N/A</v>
      </c>
      <c r="AG468" s="306">
        <f t="shared" ca="1" si="230"/>
        <v>2.1693431368064662</v>
      </c>
      <c r="AH468" s="304">
        <f t="shared" ca="1" si="231"/>
        <v>-7.6072757197934742</v>
      </c>
    </row>
    <row r="469" spans="1:34" x14ac:dyDescent="0.2">
      <c r="A469" s="347">
        <f t="shared" ca="1" si="209"/>
        <v>0.1</v>
      </c>
      <c r="B469" s="304">
        <f t="shared" ca="1" si="210"/>
        <v>39.200000000000273</v>
      </c>
      <c r="D469" s="306">
        <f t="shared" ca="1" si="211"/>
        <v>-0.62426484768980162</v>
      </c>
      <c r="E469" s="307">
        <f t="shared" ca="1" si="212"/>
        <v>-2.187635224431153</v>
      </c>
      <c r="F469" s="304">
        <f t="shared" ca="1" si="213"/>
        <v>2.2749625217205471</v>
      </c>
      <c r="G469" s="306">
        <f t="shared" ca="1" si="214"/>
        <v>8.1637342429396078</v>
      </c>
      <c r="H469" s="307">
        <f t="shared" ca="1" si="215"/>
        <v>-100.66138495322851</v>
      </c>
      <c r="I469" s="304">
        <f t="shared" ca="1" si="216"/>
        <v>100.99188570123543</v>
      </c>
      <c r="J469" s="306">
        <f t="shared" ca="1" si="217"/>
        <v>733.08754686779184</v>
      </c>
      <c r="K469" s="307">
        <f t="shared" ca="1" si="218"/>
        <v>2003.2350061335831</v>
      </c>
      <c r="L469" s="304">
        <f t="shared" ca="1" si="203"/>
        <v>2133.1591223281148</v>
      </c>
      <c r="M469" s="306">
        <f t="shared" ca="1" si="219"/>
        <v>-1.4898724856096679</v>
      </c>
      <c r="N469" s="304">
        <f t="shared" ca="1" si="220"/>
        <v>-85.363405438099448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1.7842999999999964</v>
      </c>
      <c r="T469" s="304">
        <f t="shared" ca="1" si="204"/>
        <v>17.503982999999966</v>
      </c>
      <c r="U469" s="311">
        <f t="shared" ca="1" si="205"/>
        <v>0</v>
      </c>
      <c r="V469" s="306">
        <f t="shared" ca="1" si="206"/>
        <v>1.0019452644731945</v>
      </c>
      <c r="W469" s="304">
        <f t="shared" ca="1" si="207"/>
        <v>13.717784776473426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 t="e">
        <f t="shared" ca="1" si="208"/>
        <v>#N/A</v>
      </c>
      <c r="AG469" s="306">
        <f t="shared" ca="1" si="230"/>
        <v>2.1293790617477715</v>
      </c>
      <c r="AH469" s="304">
        <f t="shared" ca="1" si="231"/>
        <v>-7.647885418329297</v>
      </c>
    </row>
    <row r="470" spans="1:34" x14ac:dyDescent="0.2">
      <c r="A470" s="347">
        <f t="shared" ca="1" si="209"/>
        <v>0.1</v>
      </c>
      <c r="B470" s="304">
        <f t="shared" ca="1" si="210"/>
        <v>39.300000000000274</v>
      </c>
      <c r="D470" s="306">
        <f t="shared" ca="1" si="211"/>
        <v>-0.6214675924059071</v>
      </c>
      <c r="E470" s="307">
        <f t="shared" ca="1" si="212"/>
        <v>-2.147111094811784</v>
      </c>
      <c r="F470" s="304">
        <f t="shared" ca="1" si="213"/>
        <v>2.2352422736416409</v>
      </c>
      <c r="G470" s="306">
        <f t="shared" ca="1" si="214"/>
        <v>8.1015874836990172</v>
      </c>
      <c r="H470" s="307">
        <f t="shared" ca="1" si="215"/>
        <v>-100.87609606270968</v>
      </c>
      <c r="I470" s="304">
        <f t="shared" ca="1" si="216"/>
        <v>101.20090156025815</v>
      </c>
      <c r="J470" s="306">
        <f t="shared" ca="1" si="217"/>
        <v>733.90081295412381</v>
      </c>
      <c r="K470" s="307">
        <f t="shared" ca="1" si="218"/>
        <v>1993.1581320827861</v>
      </c>
      <c r="L470" s="304">
        <f t="shared" ca="1" si="203"/>
        <v>2123.9796945221638</v>
      </c>
      <c r="M470" s="306">
        <f t="shared" ca="1" si="219"/>
        <v>-1.4906560722943683</v>
      </c>
      <c r="N470" s="304">
        <f t="shared" ca="1" si="220"/>
        <v>-85.408301648015424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1.7842999999999964</v>
      </c>
      <c r="T470" s="304">
        <f t="shared" ca="1" si="204"/>
        <v>17.503982999999966</v>
      </c>
      <c r="U470" s="311">
        <f t="shared" ca="1" si="205"/>
        <v>0</v>
      </c>
      <c r="V470" s="306">
        <f t="shared" ca="1" si="206"/>
        <v>1.0029656112016334</v>
      </c>
      <c r="W470" s="304">
        <f t="shared" ca="1" si="207"/>
        <v>13.788652624939088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 t="e">
        <f t="shared" ca="1" si="208"/>
        <v>#N/A</v>
      </c>
      <c r="AG470" s="306">
        <f t="shared" ca="1" si="230"/>
        <v>2.0898478993804321</v>
      </c>
      <c r="AH470" s="304">
        <f t="shared" ca="1" si="231"/>
        <v>-7.6880484091651926</v>
      </c>
    </row>
    <row r="471" spans="1:34" x14ac:dyDescent="0.2">
      <c r="A471" s="347">
        <f t="shared" ca="1" si="209"/>
        <v>0.1</v>
      </c>
      <c r="B471" s="304">
        <f t="shared" ca="1" si="210"/>
        <v>39.400000000000276</v>
      </c>
      <c r="D471" s="306">
        <f t="shared" ca="1" si="211"/>
        <v>-0.61864242518953727</v>
      </c>
      <c r="E471" s="307">
        <f t="shared" ca="1" si="212"/>
        <v>-2.1070364959394334</v>
      </c>
      <c r="F471" s="304">
        <f t="shared" ca="1" si="213"/>
        <v>2.1959784255463712</v>
      </c>
      <c r="G471" s="306">
        <f t="shared" ca="1" si="214"/>
        <v>8.039723241180063</v>
      </c>
      <c r="H471" s="307">
        <f t="shared" ca="1" si="215"/>
        <v>-101.08679971230362</v>
      </c>
      <c r="I471" s="304">
        <f t="shared" ca="1" si="216"/>
        <v>101.40600685299741</v>
      </c>
      <c r="J471" s="306">
        <f t="shared" ca="1" si="217"/>
        <v>734.70787849036776</v>
      </c>
      <c r="K471" s="307">
        <f t="shared" ca="1" si="218"/>
        <v>1983.0599872940354</v>
      </c>
      <c r="L471" s="304">
        <f t="shared" ca="1" si="203"/>
        <v>2114.7866511595057</v>
      </c>
      <c r="M471" s="306">
        <f t="shared" ca="1" si="219"/>
        <v>-1.4914305182459697</v>
      </c>
      <c r="N471" s="304">
        <f t="shared" ca="1" si="220"/>
        <v>-85.452674132503191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1.7842999999999964</v>
      </c>
      <c r="T471" s="304">
        <f t="shared" ca="1" si="204"/>
        <v>17.503982999999966</v>
      </c>
      <c r="U471" s="311">
        <f t="shared" ca="1" si="205"/>
        <v>0</v>
      </c>
      <c r="V471" s="306">
        <f t="shared" ca="1" si="206"/>
        <v>1.0039890501286652</v>
      </c>
      <c r="W471" s="304">
        <f t="shared" ca="1" si="207"/>
        <v>13.858727783161239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 t="e">
        <f t="shared" ca="1" si="208"/>
        <v>#N/A</v>
      </c>
      <c r="AG471" s="306">
        <f t="shared" ca="1" si="230"/>
        <v>2.0507488277626313</v>
      </c>
      <c r="AH471" s="304">
        <f t="shared" ca="1" si="231"/>
        <v>-7.727765860527442</v>
      </c>
    </row>
    <row r="472" spans="1:34" x14ac:dyDescent="0.2">
      <c r="A472" s="347">
        <f t="shared" ca="1" si="209"/>
        <v>0.1</v>
      </c>
      <c r="B472" s="304">
        <f t="shared" ca="1" si="210"/>
        <v>39.500000000000277</v>
      </c>
      <c r="D472" s="306">
        <f t="shared" ca="1" si="211"/>
        <v>-0.61579038886824011</v>
      </c>
      <c r="E472" s="307">
        <f t="shared" ca="1" si="212"/>
        <v>-2.0674101325472325</v>
      </c>
      <c r="F472" s="304">
        <f t="shared" ca="1" si="213"/>
        <v>2.1571700116544972</v>
      </c>
      <c r="G472" s="306">
        <f t="shared" ca="1" si="214"/>
        <v>7.9781442022932394</v>
      </c>
      <c r="H472" s="307">
        <f t="shared" ca="1" si="215"/>
        <v>-101.29354072555834</v>
      </c>
      <c r="I472" s="304">
        <f t="shared" ca="1" si="216"/>
        <v>101.6072447103696</v>
      </c>
      <c r="J472" s="306">
        <f t="shared" ca="1" si="217"/>
        <v>735.50877186254138</v>
      </c>
      <c r="K472" s="307">
        <f t="shared" ca="1" si="218"/>
        <v>1972.9409702721423</v>
      </c>
      <c r="L472" s="304">
        <f t="shared" ca="1" si="203"/>
        <v>2105.5804961257422</v>
      </c>
      <c r="M472" s="306">
        <f t="shared" ca="1" si="219"/>
        <v>-1.4921959769970217</v>
      </c>
      <c r="N472" s="304">
        <f t="shared" ca="1" si="220"/>
        <v>-85.49653168832981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1.7842999999999964</v>
      </c>
      <c r="T472" s="304">
        <f t="shared" ca="1" si="204"/>
        <v>17.503982999999966</v>
      </c>
      <c r="U472" s="311">
        <f t="shared" ca="1" si="205"/>
        <v>0</v>
      </c>
      <c r="V472" s="306">
        <f t="shared" ca="1" si="206"/>
        <v>1.0050155480458254</v>
      </c>
      <c r="W472" s="304">
        <f t="shared" ca="1" si="207"/>
        <v>13.928012731751624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 t="e">
        <f t="shared" ca="1" si="208"/>
        <v>#N/A</v>
      </c>
      <c r="AG472" s="306">
        <f t="shared" ca="1" si="230"/>
        <v>2.0120809015455166</v>
      </c>
      <c r="AH472" s="304">
        <f t="shared" ca="1" si="231"/>
        <v>-7.7670390535006817</v>
      </c>
    </row>
    <row r="473" spans="1:34" x14ac:dyDescent="0.2">
      <c r="A473" s="347">
        <f t="shared" ca="1" si="209"/>
        <v>0.1</v>
      </c>
      <c r="B473" s="304">
        <f t="shared" ca="1" si="210"/>
        <v>39.600000000000279</v>
      </c>
      <c r="D473" s="306">
        <f t="shared" ca="1" si="211"/>
        <v>-0.6129125113281868</v>
      </c>
      <c r="E473" s="307">
        <f t="shared" ca="1" si="212"/>
        <v>-2.0282305993440746</v>
      </c>
      <c r="F473" s="304">
        <f t="shared" ca="1" si="213"/>
        <v>2.1188159690398432</v>
      </c>
      <c r="G473" s="306">
        <f t="shared" ca="1" si="214"/>
        <v>7.9168529511604211</v>
      </c>
      <c r="H473" s="307">
        <f t="shared" ca="1" si="215"/>
        <v>-101.49636378549275</v>
      </c>
      <c r="I473" s="304">
        <f t="shared" ca="1" si="216"/>
        <v>101.80465815633085</v>
      </c>
      <c r="J473" s="306">
        <f t="shared" ca="1" si="217"/>
        <v>736.30352172021401</v>
      </c>
      <c r="K473" s="307">
        <f t="shared" ca="1" si="218"/>
        <v>1962.8014750465898</v>
      </c>
      <c r="L473" s="304">
        <f t="shared" ca="1" si="203"/>
        <v>2096.3617308429043</v>
      </c>
      <c r="M473" s="306">
        <f t="shared" ca="1" si="219"/>
        <v>-1.4929525983714831</v>
      </c>
      <c r="N473" s="304">
        <f t="shared" ca="1" si="220"/>
        <v>-85.539882899775847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1.7842999999999964</v>
      </c>
      <c r="T473" s="304">
        <f t="shared" ca="1" si="204"/>
        <v>17.503982999999966</v>
      </c>
      <c r="U473" s="311">
        <f t="shared" ca="1" si="205"/>
        <v>0</v>
      </c>
      <c r="V473" s="306">
        <f t="shared" ca="1" si="206"/>
        <v>1.0060450720811818</v>
      </c>
      <c r="W473" s="304">
        <f t="shared" ca="1" si="207"/>
        <v>13.996510139579152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 t="e">
        <f t="shared" ca="1" si="208"/>
        <v>#N/A</v>
      </c>
      <c r="AG473" s="306">
        <f t="shared" ca="1" si="230"/>
        <v>1.9738430560576816</v>
      </c>
      <c r="AH473" s="304">
        <f t="shared" ca="1" si="231"/>
        <v>-7.8058693783285609</v>
      </c>
    </row>
    <row r="474" spans="1:34" x14ac:dyDescent="0.2">
      <c r="A474" s="347">
        <f t="shared" ca="1" si="209"/>
        <v>0.1</v>
      </c>
      <c r="B474" s="304">
        <f t="shared" ca="1" si="210"/>
        <v>39.70000000000028</v>
      </c>
      <c r="D474" s="306">
        <f t="shared" ca="1" si="211"/>
        <v>-0.61000980544718209</v>
      </c>
      <c r="E474" s="307">
        <f t="shared" ca="1" si="212"/>
        <v>-1.9894963846954141</v>
      </c>
      <c r="F474" s="304">
        <f t="shared" ca="1" si="213"/>
        <v>2.0809151418205003</v>
      </c>
      <c r="G474" s="306">
        <f t="shared" ca="1" si="214"/>
        <v>7.8558519706157028</v>
      </c>
      <c r="H474" s="307">
        <f t="shared" ca="1" si="215"/>
        <v>-101.69531342396229</v>
      </c>
      <c r="I474" s="304">
        <f t="shared" ca="1" si="216"/>
        <v>101.99829009636461</v>
      </c>
      <c r="J474" s="306">
        <f t="shared" ca="1" si="217"/>
        <v>737.09215696630281</v>
      </c>
      <c r="K474" s="307">
        <f t="shared" ca="1" si="218"/>
        <v>1952.6418911861169</v>
      </c>
      <c r="L474" s="304">
        <f t="shared" ca="1" si="203"/>
        <v>2087.1308543251744</v>
      </c>
      <c r="M474" s="306">
        <f t="shared" ca="1" si="219"/>
        <v>-1.4937005285980376</v>
      </c>
      <c r="N474" s="304">
        <f t="shared" ca="1" si="220"/>
        <v>-85.582736145127683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1.7842999999999964</v>
      </c>
      <c r="T474" s="304">
        <f t="shared" ca="1" si="204"/>
        <v>17.503982999999966</v>
      </c>
      <c r="U474" s="311">
        <f t="shared" ca="1" si="205"/>
        <v>0</v>
      </c>
      <c r="V474" s="306">
        <f t="shared" ca="1" si="206"/>
        <v>1.0070775896988176</v>
      </c>
      <c r="W474" s="304">
        <f t="shared" ca="1" si="207"/>
        <v>14.064222857342415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 t="e">
        <f t="shared" ca="1" si="208"/>
        <v>#N/A</v>
      </c>
      <c r="AG474" s="306">
        <f t="shared" ca="1" si="230"/>
        <v>1.9360341113253892</v>
      </c>
      <c r="AH474" s="304">
        <f t="shared" ca="1" si="231"/>
        <v>-7.8442583307623046</v>
      </c>
    </row>
    <row r="475" spans="1:34" x14ac:dyDescent="0.2">
      <c r="A475" s="347">
        <f t="shared" ca="1" si="209"/>
        <v>0.1</v>
      </c>
      <c r="B475" s="304">
        <f t="shared" ca="1" si="210"/>
        <v>39.800000000000281</v>
      </c>
      <c r="D475" s="306">
        <f t="shared" ca="1" si="211"/>
        <v>-0.60708326903935428</v>
      </c>
      <c r="E475" s="307">
        <f t="shared" ca="1" si="212"/>
        <v>-1.9512058742545291</v>
      </c>
      <c r="F475" s="304">
        <f t="shared" ca="1" si="213"/>
        <v>2.0434662853281651</v>
      </c>
      <c r="G475" s="306">
        <f t="shared" ca="1" si="214"/>
        <v>7.7951436437117678</v>
      </c>
      <c r="H475" s="307">
        <f t="shared" ca="1" si="215"/>
        <v>-101.89043401138774</v>
      </c>
      <c r="I475" s="304">
        <f t="shared" ca="1" si="216"/>
        <v>102.18818330636405</v>
      </c>
      <c r="J475" s="306">
        <f t="shared" ca="1" si="217"/>
        <v>737.87470674701922</v>
      </c>
      <c r="K475" s="307">
        <f t="shared" ca="1" si="218"/>
        <v>1942.4626038143494</v>
      </c>
      <c r="L475" s="304">
        <f t="shared" ca="1" si="203"/>
        <v>2077.8883632366351</v>
      </c>
      <c r="M475" s="306">
        <f t="shared" ca="1" si="219"/>
        <v>-1.494439910419334</v>
      </c>
      <c r="N475" s="304">
        <f t="shared" ca="1" si="220"/>
        <v>-85.625099602936658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1.7842999999999964</v>
      </c>
      <c r="T475" s="304">
        <f t="shared" ca="1" si="204"/>
        <v>17.503982999999966</v>
      </c>
      <c r="U475" s="311">
        <f t="shared" ca="1" si="205"/>
        <v>0</v>
      </c>
      <c r="V475" s="306">
        <f t="shared" ca="1" si="206"/>
        <v>1.0081130686982291</v>
      </c>
      <c r="W475" s="304">
        <f t="shared" ca="1" si="207"/>
        <v>14.131153911232181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 t="e">
        <f t="shared" ca="1" si="208"/>
        <v>#N/A</v>
      </c>
      <c r="AG475" s="306">
        <f t="shared" ca="1" si="230"/>
        <v>1.8986527760280794</v>
      </c>
      <c r="AH475" s="304">
        <f t="shared" ca="1" si="231"/>
        <v>-7.8822075084584675</v>
      </c>
    </row>
    <row r="476" spans="1:34" x14ac:dyDescent="0.2">
      <c r="A476" s="347">
        <f t="shared" ca="1" si="209"/>
        <v>0.1</v>
      </c>
      <c r="B476" s="304">
        <f t="shared" ca="1" si="210"/>
        <v>39.900000000000283</v>
      </c>
      <c r="D476" s="306">
        <f t="shared" ca="1" si="211"/>
        <v>-0.60413388481118691</v>
      </c>
      <c r="E476" s="307">
        <f t="shared" ca="1" si="212"/>
        <v>-1.9133573545429909</v>
      </c>
      <c r="F476" s="304">
        <f t="shared" ca="1" si="213"/>
        <v>2.0064680702569899</v>
      </c>
      <c r="G476" s="306">
        <f t="shared" ca="1" si="214"/>
        <v>7.7347302552306489</v>
      </c>
      <c r="H476" s="307">
        <f t="shared" ca="1" si="215"/>
        <v>-102.08176974684204</v>
      </c>
      <c r="I476" s="304">
        <f t="shared" ca="1" si="216"/>
        <v>102.3743804219027</v>
      </c>
      <c r="J476" s="306">
        <f t="shared" ca="1" si="217"/>
        <v>738.65120044196635</v>
      </c>
      <c r="K476" s="307">
        <f t="shared" ca="1" si="218"/>
        <v>1932.2639936264379</v>
      </c>
      <c r="L476" s="304">
        <f t="shared" ca="1" si="203"/>
        <v>2068.6347519510418</v>
      </c>
      <c r="M476" s="306">
        <f t="shared" ca="1" si="219"/>
        <v>-1.4951708831973243</v>
      </c>
      <c r="N476" s="304">
        <f t="shared" ca="1" si="220"/>
        <v>-85.666981258054449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1.7842999999999964</v>
      </c>
      <c r="T476" s="304">
        <f t="shared" ca="1" si="204"/>
        <v>17.503982999999966</v>
      </c>
      <c r="U476" s="311">
        <f t="shared" ca="1" si="205"/>
        <v>0</v>
      </c>
      <c r="V476" s="306">
        <f t="shared" ca="1" si="206"/>
        <v>1.0091514772136385</v>
      </c>
      <c r="W476" s="304">
        <f t="shared" ca="1" si="207"/>
        <v>14.197306496685782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 t="e">
        <f t="shared" ca="1" si="208"/>
        <v>#N/A</v>
      </c>
      <c r="AG476" s="306">
        <f t="shared" ca="1" si="230"/>
        <v>1.8616976513886341</v>
      </c>
      <c r="AH476" s="304">
        <f t="shared" ca="1" si="231"/>
        <v>-7.9197186074271189</v>
      </c>
    </row>
    <row r="477" spans="1:34" x14ac:dyDescent="0.2">
      <c r="A477" s="347">
        <f t="shared" ca="1" si="209"/>
        <v>0.1</v>
      </c>
      <c r="B477" s="304">
        <f t="shared" ca="1" si="210"/>
        <v>40.000000000000284</v>
      </c>
      <c r="D477" s="306">
        <f t="shared" ca="1" si="211"/>
        <v>-0.60116262032848178</v>
      </c>
      <c r="E477" s="307">
        <f t="shared" ca="1" si="212"/>
        <v>-1.8759490164792574</v>
      </c>
      <c r="F477" s="304">
        <f t="shared" ca="1" si="213"/>
        <v>1.9699190867925767</v>
      </c>
      <c r="G477" s="306">
        <f t="shared" ca="1" si="214"/>
        <v>7.6746139931978004</v>
      </c>
      <c r="H477" s="307">
        <f t="shared" ca="1" si="215"/>
        <v>-102.26936464848997</v>
      </c>
      <c r="I477" s="304">
        <f t="shared" ca="1" si="216"/>
        <v>102.55692392788698</v>
      </c>
      <c r="J477" s="306">
        <f t="shared" ca="1" si="217"/>
        <v>739.42166765438776</v>
      </c>
      <c r="K477" s="307">
        <f t="shared" ca="1" si="218"/>
        <v>1922.0464369066713</v>
      </c>
      <c r="L477" s="304">
        <f t="shared" ca="1" si="203"/>
        <v>2059.370512613606</v>
      </c>
      <c r="M477" s="306">
        <f t="shared" ca="1" si="219"/>
        <v>-1.4958935830148581</v>
      </c>
      <c r="N477" s="304">
        <f t="shared" ca="1" si="220"/>
        <v>-85.708388907454022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1.7842999999999964</v>
      </c>
      <c r="T477" s="304">
        <f t="shared" ca="1" si="204"/>
        <v>17.503982999999966</v>
      </c>
      <c r="U477" s="311">
        <f t="shared" ca="1" si="205"/>
        <v>0</v>
      </c>
      <c r="V477" s="306">
        <f t="shared" ca="1" si="206"/>
        <v>1.0101927837132247</v>
      </c>
      <c r="W477" s="304">
        <f t="shared" ca="1" si="207"/>
        <v>14.26268397223528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>
        <f t="shared" ca="1" si="228"/>
        <v>40.000000000000284</v>
      </c>
      <c r="AD477" s="323">
        <f t="shared" ca="1" si="229"/>
        <v>739.42166765438776</v>
      </c>
      <c r="AE477" s="324" t="e">
        <f t="shared" ca="1" si="208"/>
        <v>#N/A</v>
      </c>
      <c r="AG477" s="306">
        <f t="shared" ca="1" si="230"/>
        <v>1.825167234998041</v>
      </c>
      <c r="AH477" s="304">
        <f t="shared" ca="1" si="231"/>
        <v>-7.9567934185315305</v>
      </c>
    </row>
    <row r="478" spans="1:34" x14ac:dyDescent="0.2">
      <c r="A478" s="347">
        <f t="shared" ca="1" si="209"/>
        <v>0.1</v>
      </c>
      <c r="B478" s="304">
        <f t="shared" ca="1" si="210"/>
        <v>40.100000000000286</v>
      </c>
      <c r="D478" s="306">
        <f t="shared" ca="1" si="211"/>
        <v>-0.59817042799389142</v>
      </c>
      <c r="E478" s="307">
        <f t="shared" ca="1" si="212"/>
        <v>-1.8389789588543346</v>
      </c>
      <c r="F478" s="304">
        <f t="shared" ca="1" si="213"/>
        <v>1.9338178487218924</v>
      </c>
      <c r="G478" s="306">
        <f t="shared" ca="1" si="214"/>
        <v>7.6147969503984116</v>
      </c>
      <c r="H478" s="307">
        <f t="shared" ca="1" si="215"/>
        <v>-102.45326254437541</v>
      </c>
      <c r="I478" s="304">
        <f t="shared" ca="1" si="216"/>
        <v>102.73585614858385</v>
      </c>
      <c r="J478" s="306">
        <f t="shared" ca="1" si="217"/>
        <v>740.18613820156759</v>
      </c>
      <c r="K478" s="307">
        <f t="shared" ca="1" si="218"/>
        <v>1911.8103055470281</v>
      </c>
      <c r="L478" s="304">
        <f t="shared" ca="1" si="203"/>
        <v>2050.0961352047789</v>
      </c>
      <c r="M478" s="306">
        <f t="shared" ca="1" si="219"/>
        <v>-1.4966081427736881</v>
      </c>
      <c r="N478" s="304">
        <f t="shared" ca="1" si="220"/>
        <v>-85.749330165844867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1.7842999999999964</v>
      </c>
      <c r="T478" s="304">
        <f t="shared" ca="1" si="204"/>
        <v>17.503982999999966</v>
      </c>
      <c r="U478" s="311">
        <f t="shared" ca="1" si="205"/>
        <v>0</v>
      </c>
      <c r="V478" s="306">
        <f t="shared" ca="1" si="206"/>
        <v>1.0112369569982784</v>
      </c>
      <c r="W478" s="304">
        <f t="shared" ca="1" si="207"/>
        <v>14.327289853450953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 t="e">
        <f t="shared" ca="1" si="208"/>
        <v>#N/A</v>
      </c>
      <c r="AG478" s="306">
        <f t="shared" ca="1" si="230"/>
        <v>1.789059924574083</v>
      </c>
      <c r="AH478" s="304">
        <f t="shared" ca="1" si="231"/>
        <v>-7.9934338240404124</v>
      </c>
    </row>
    <row r="479" spans="1:34" x14ac:dyDescent="0.2">
      <c r="A479" s="347">
        <f t="shared" ca="1" si="209"/>
        <v>0.1</v>
      </c>
      <c r="B479" s="304">
        <f t="shared" ca="1" si="210"/>
        <v>40.200000000000287</v>
      </c>
      <c r="D479" s="306">
        <f t="shared" ca="1" si="211"/>
        <v>-0.59515824503463133</v>
      </c>
      <c r="E479" s="307">
        <f t="shared" ca="1" si="212"/>
        <v>-1.8024451917536037</v>
      </c>
      <c r="F479" s="304">
        <f t="shared" ca="1" si="213"/>
        <v>1.8981627975251194</v>
      </c>
      <c r="G479" s="306">
        <f t="shared" ca="1" si="214"/>
        <v>7.5552811258949486</v>
      </c>
      <c r="H479" s="307">
        <f t="shared" ca="1" si="215"/>
        <v>-102.63350706355077</v>
      </c>
      <c r="I479" s="304">
        <f t="shared" ca="1" si="216"/>
        <v>102.91121923801714</v>
      </c>
      <c r="J479" s="306">
        <f t="shared" ca="1" si="217"/>
        <v>740.94464210538229</v>
      </c>
      <c r="K479" s="307">
        <f t="shared" ca="1" si="218"/>
        <v>1901.5559670666319</v>
      </c>
      <c r="L479" s="304">
        <f t="shared" ca="1" si="203"/>
        <v>2040.8121076060349</v>
      </c>
      <c r="M479" s="306">
        <f t="shared" ca="1" si="219"/>
        <v>-1.497314692289029</v>
      </c>
      <c r="N479" s="304">
        <f t="shared" ca="1" si="220"/>
        <v>-85.789812471090912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1.7842999999999964</v>
      </c>
      <c r="T479" s="304">
        <f t="shared" ca="1" si="204"/>
        <v>17.503982999999966</v>
      </c>
      <c r="U479" s="311">
        <f t="shared" ca="1" si="205"/>
        <v>0</v>
      </c>
      <c r="V479" s="306">
        <f t="shared" ca="1" si="206"/>
        <v>1.0122839662022778</v>
      </c>
      <c r="W479" s="304">
        <f t="shared" ca="1" si="207"/>
        <v>14.391127806981677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 t="e">
        <f t="shared" ca="1" si="208"/>
        <v>#N/A</v>
      </c>
      <c r="AG479" s="306">
        <f t="shared" ca="1" si="230"/>
        <v>1.7533740216537606</v>
      </c>
      <c r="AH479" s="304">
        <f t="shared" ca="1" si="231"/>
        <v>-8.0296417942335818</v>
      </c>
    </row>
    <row r="480" spans="1:34" x14ac:dyDescent="0.2">
      <c r="A480" s="347">
        <f t="shared" ca="1" si="209"/>
        <v>0.1</v>
      </c>
      <c r="B480" s="304">
        <f t="shared" ca="1" si="210"/>
        <v>40.300000000000288</v>
      </c>
      <c r="D480" s="306">
        <f t="shared" ca="1" si="211"/>
        <v>-0.59212699350003828</v>
      </c>
      <c r="E480" s="307">
        <f t="shared" ca="1" si="212"/>
        <v>-1.7663456399239426</v>
      </c>
      <c r="F480" s="304">
        <f t="shared" ca="1" si="213"/>
        <v>1.8629523064506286</v>
      </c>
      <c r="G480" s="306">
        <f t="shared" ca="1" si="214"/>
        <v>7.4960684265449444</v>
      </c>
      <c r="H480" s="307">
        <f t="shared" ca="1" si="215"/>
        <v>-102.81014162754316</v>
      </c>
      <c r="I480" s="304">
        <f t="shared" ca="1" si="216"/>
        <v>103.08305517072593</v>
      </c>
      <c r="J480" s="306">
        <f t="shared" ca="1" si="217"/>
        <v>741.69720958300434</v>
      </c>
      <c r="K480" s="307">
        <f t="shared" ca="1" si="218"/>
        <v>1891.2837846320772</v>
      </c>
      <c r="L480" s="304">
        <f t="shared" ca="1" si="203"/>
        <v>2031.5189156676461</v>
      </c>
      <c r="M480" s="306">
        <f t="shared" ca="1" si="219"/>
        <v>-1.4980133583808115</v>
      </c>
      <c r="N480" s="304">
        <f t="shared" ca="1" si="220"/>
        <v>-85.829843089438953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1.7842999999999964</v>
      </c>
      <c r="T480" s="304">
        <f t="shared" ca="1" si="204"/>
        <v>17.503982999999966</v>
      </c>
      <c r="U480" s="311">
        <f t="shared" ca="1" si="205"/>
        <v>0</v>
      </c>
      <c r="V480" s="306">
        <f t="shared" ca="1" si="206"/>
        <v>1.0133337807898934</v>
      </c>
      <c r="W480" s="304">
        <f t="shared" ca="1" si="207"/>
        <v>14.4542016446934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 t="e">
        <f t="shared" ca="1" si="208"/>
        <v>#N/A</v>
      </c>
      <c r="AG480" s="306">
        <f t="shared" ca="1" si="230"/>
        <v>1.7181077352192595</v>
      </c>
      <c r="AH480" s="304">
        <f t="shared" ca="1" si="231"/>
        <v>-8.0654193840619328</v>
      </c>
    </row>
    <row r="481" spans="1:34" x14ac:dyDescent="0.2">
      <c r="A481" s="347">
        <f t="shared" ca="1" si="209"/>
        <v>0.1</v>
      </c>
      <c r="B481" s="304">
        <f t="shared" ca="1" si="210"/>
        <v>40.40000000000029</v>
      </c>
      <c r="D481" s="306">
        <f t="shared" ca="1" si="211"/>
        <v>-0.58907758026858192</v>
      </c>
      <c r="E481" s="307">
        <f t="shared" ca="1" si="212"/>
        <v>-1.7306781460854701</v>
      </c>
      <c r="F481" s="304">
        <f t="shared" ca="1" si="213"/>
        <v>1.8281846845745446</v>
      </c>
      <c r="G481" s="306">
        <f t="shared" ca="1" si="214"/>
        <v>7.4371606685180867</v>
      </c>
      <c r="H481" s="307">
        <f t="shared" ca="1" si="215"/>
        <v>-102.9832094421517</v>
      </c>
      <c r="I481" s="304">
        <f t="shared" ca="1" si="216"/>
        <v>103.25140573287823</v>
      </c>
      <c r="J481" s="306">
        <f t="shared" ca="1" si="217"/>
        <v>742.4438710377575</v>
      </c>
      <c r="K481" s="307">
        <f t="shared" ca="1" si="218"/>
        <v>1880.9941170785924</v>
      </c>
      <c r="L481" s="304">
        <f t="shared" ca="1" si="203"/>
        <v>2022.2170432784419</v>
      </c>
      <c r="M481" s="306">
        <f t="shared" ca="1" si="219"/>
        <v>-1.4987042649617641</v>
      </c>
      <c r="N481" s="304">
        <f t="shared" ca="1" si="220"/>
        <v>-85.869429120565343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1.7842999999999964</v>
      </c>
      <c r="T481" s="304">
        <f t="shared" ca="1" si="204"/>
        <v>17.503982999999966</v>
      </c>
      <c r="U481" s="311">
        <f t="shared" ca="1" si="205"/>
        <v>0</v>
      </c>
      <c r="V481" s="306">
        <f t="shared" ca="1" si="206"/>
        <v>1.0143863705559171</v>
      </c>
      <c r="W481" s="304">
        <f t="shared" ca="1" si="207"/>
        <v>14.516515317906954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 t="e">
        <f t="shared" ca="1" si="208"/>
        <v>#N/A</v>
      </c>
      <c r="AG481" s="306">
        <f t="shared" ca="1" si="230"/>
        <v>1.6832591852572474</v>
      </c>
      <c r="AH481" s="304">
        <f t="shared" ca="1" si="231"/>
        <v>-8.1007687298623718</v>
      </c>
    </row>
    <row r="482" spans="1:34" x14ac:dyDescent="0.2">
      <c r="A482" s="347">
        <f t="shared" ca="1" si="209"/>
        <v>0.1</v>
      </c>
      <c r="B482" s="304">
        <f t="shared" ca="1" si="210"/>
        <v>40.500000000000291</v>
      </c>
      <c r="D482" s="306">
        <f t="shared" ca="1" si="211"/>
        <v>-0.58601089706398857</v>
      </c>
      <c r="E482" s="307">
        <f t="shared" ca="1" si="212"/>
        <v>-1.695440474187162</v>
      </c>
      <c r="F482" s="304">
        <f t="shared" ca="1" si="213"/>
        <v>1.7938581808464484</v>
      </c>
      <c r="G482" s="306">
        <f t="shared" ca="1" si="214"/>
        <v>7.3785595788116876</v>
      </c>
      <c r="H482" s="307">
        <f t="shared" ca="1" si="215"/>
        <v>-103.15275348957042</v>
      </c>
      <c r="I482" s="304">
        <f t="shared" ca="1" si="216"/>
        <v>103.41631251373332</v>
      </c>
      <c r="J482" s="306">
        <f t="shared" ca="1" si="217"/>
        <v>743.18465705012397</v>
      </c>
      <c r="K482" s="307">
        <f t="shared" ca="1" si="218"/>
        <v>1870.6873189320063</v>
      </c>
      <c r="L482" s="304">
        <f t="shared" ca="1" si="203"/>
        <v>2012.9069724375561</v>
      </c>
      <c r="M482" s="306">
        <f t="shared" ca="1" si="219"/>
        <v>-1.4993875331224473</v>
      </c>
      <c r="N482" s="304">
        <f t="shared" ca="1" si="220"/>
        <v>-85.908577502448153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1.7842999999999964</v>
      </c>
      <c r="T482" s="304">
        <f t="shared" ca="1" si="204"/>
        <v>17.503982999999966</v>
      </c>
      <c r="U482" s="311">
        <f t="shared" ca="1" si="205"/>
        <v>0</v>
      </c>
      <c r="V482" s="306">
        <f t="shared" ca="1" si="206"/>
        <v>1.0154417056241276</v>
      </c>
      <c r="W482" s="304">
        <f t="shared" ca="1" si="207"/>
        <v>14.578072911736134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 t="e">
        <f t="shared" ca="1" si="208"/>
        <v>#N/A</v>
      </c>
      <c r="AG482" s="306">
        <f t="shared" ca="1" si="230"/>
        <v>1.648826406251434</v>
      </c>
      <c r="AH482" s="304">
        <f t="shared" ca="1" si="231"/>
        <v>-8.1356920461284439</v>
      </c>
    </row>
    <row r="483" spans="1:34" x14ac:dyDescent="0.2">
      <c r="A483" s="347">
        <f t="shared" ca="1" si="209"/>
        <v>0.1</v>
      </c>
      <c r="B483" s="304">
        <f t="shared" ca="1" si="210"/>
        <v>40.600000000000293</v>
      </c>
      <c r="D483" s="306">
        <f t="shared" ca="1" si="211"/>
        <v>-0.58292782048013092</v>
      </c>
      <c r="E483" s="307">
        <f t="shared" ca="1" si="212"/>
        <v>-1.6606303126058695</v>
      </c>
      <c r="F483" s="304">
        <f t="shared" ca="1" si="213"/>
        <v>1.7599709881231518</v>
      </c>
      <c r="G483" s="306">
        <f t="shared" ca="1" si="214"/>
        <v>7.3202667967636748</v>
      </c>
      <c r="H483" s="307">
        <f t="shared" ca="1" si="215"/>
        <v>-103.31881652083101</v>
      </c>
      <c r="I483" s="304">
        <f t="shared" ca="1" si="216"/>
        <v>103.57781689744645</v>
      </c>
      <c r="J483" s="306">
        <f t="shared" ca="1" si="217"/>
        <v>743.91959836890271</v>
      </c>
      <c r="K483" s="307">
        <f t="shared" ca="1" si="218"/>
        <v>1860.3637404314861</v>
      </c>
      <c r="L483" s="304">
        <f t="shared" ca="1" si="203"/>
        <v>2003.5891833281541</v>
      </c>
      <c r="M483" s="306">
        <f t="shared" ca="1" si="219"/>
        <v>-1.5000632812133643</v>
      </c>
      <c r="N483" s="304">
        <f t="shared" ca="1" si="220"/>
        <v>-85.94729501607172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1.7842999999999964</v>
      </c>
      <c r="T483" s="304">
        <f t="shared" ca="1" si="204"/>
        <v>17.503982999999966</v>
      </c>
      <c r="U483" s="311">
        <f t="shared" ca="1" si="205"/>
        <v>0</v>
      </c>
      <c r="V483" s="306">
        <f t="shared" ca="1" si="206"/>
        <v>1.0164997564460849</v>
      </c>
      <c r="W483" s="304">
        <f t="shared" ca="1" si="207"/>
        <v>14.638878639527071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 t="e">
        <f t="shared" ca="1" si="208"/>
        <v>#N/A</v>
      </c>
      <c r="AG483" s="306">
        <f t="shared" ca="1" si="230"/>
        <v>1.614807350608304</v>
      </c>
      <c r="AH483" s="304">
        <f t="shared" ca="1" si="231"/>
        <v>-8.1701916223371427</v>
      </c>
    </row>
    <row r="484" spans="1:34" x14ac:dyDescent="0.2">
      <c r="A484" s="347">
        <f t="shared" ca="1" si="209"/>
        <v>0.1</v>
      </c>
      <c r="B484" s="304">
        <f t="shared" ca="1" si="210"/>
        <v>40.700000000000294</v>
      </c>
      <c r="D484" s="306">
        <f t="shared" ca="1" si="211"/>
        <v>-0.57982921201432214</v>
      </c>
      <c r="E484" s="307">
        <f t="shared" ca="1" si="212"/>
        <v>-1.6262452772881222</v>
      </c>
      <c r="F484" s="304">
        <f t="shared" ca="1" si="213"/>
        <v>1.7265212471924785</v>
      </c>
      <c r="G484" s="306">
        <f t="shared" ca="1" si="214"/>
        <v>7.2622838755622423</v>
      </c>
      <c r="H484" s="307">
        <f t="shared" ca="1" si="215"/>
        <v>-103.48144104855982</v>
      </c>
      <c r="I484" s="304">
        <f t="shared" ca="1" si="216"/>
        <v>103.73596005520849</v>
      </c>
      <c r="J484" s="306">
        <f t="shared" ca="1" si="217"/>
        <v>744.648725902519</v>
      </c>
      <c r="K484" s="307">
        <f t="shared" ca="1" si="218"/>
        <v>1850.0237275530167</v>
      </c>
      <c r="L484" s="304">
        <f t="shared" ca="1" si="203"/>
        <v>1994.2641543931445</v>
      </c>
      <c r="M484" s="306">
        <f t="shared" ca="1" si="219"/>
        <v>-1.500731624924261</v>
      </c>
      <c r="N484" s="304">
        <f t="shared" ca="1" si="220"/>
        <v>-85.985588289970224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1.7842999999999964</v>
      </c>
      <c r="T484" s="304">
        <f t="shared" ca="1" si="204"/>
        <v>17.503982999999966</v>
      </c>
      <c r="U484" s="311">
        <f t="shared" ca="1" si="205"/>
        <v>0</v>
      </c>
      <c r="V484" s="306">
        <f t="shared" ca="1" si="206"/>
        <v>1.0175604937998624</v>
      </c>
      <c r="W484" s="304">
        <f t="shared" ca="1" si="207"/>
        <v>14.698936837399332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 t="e">
        <f t="shared" ca="1" si="208"/>
        <v>#N/A</v>
      </c>
      <c r="AG484" s="306">
        <f t="shared" ca="1" si="230"/>
        <v>1.58119989201602</v>
      </c>
      <c r="AH484" s="304">
        <f t="shared" ca="1" si="231"/>
        <v>-8.2042698198324828</v>
      </c>
    </row>
    <row r="485" spans="1:34" x14ac:dyDescent="0.2">
      <c r="A485" s="347">
        <f t="shared" ca="1" si="209"/>
        <v>0.1</v>
      </c>
      <c r="B485" s="304">
        <f t="shared" ca="1" si="210"/>
        <v>40.800000000000296</v>
      </c>
      <c r="D485" s="306">
        <f t="shared" ca="1" si="211"/>
        <v>-0.57671591810868639</v>
      </c>
      <c r="E485" s="307">
        <f t="shared" ca="1" si="212"/>
        <v>-1.5922829148344597</v>
      </c>
      <c r="F485" s="304">
        <f t="shared" ca="1" si="213"/>
        <v>1.6935070507894758</v>
      </c>
      <c r="G485" s="306">
        <f t="shared" ca="1" si="214"/>
        <v>7.2046122837513735</v>
      </c>
      <c r="H485" s="307">
        <f t="shared" ca="1" si="215"/>
        <v>-103.64066934004326</v>
      </c>
      <c r="I485" s="304">
        <f t="shared" ca="1" si="216"/>
        <v>103.89078293771476</v>
      </c>
      <c r="J485" s="306">
        <f t="shared" ca="1" si="217"/>
        <v>745.37207071048465</v>
      </c>
      <c r="K485" s="307">
        <f t="shared" ca="1" si="218"/>
        <v>1839.6676220335864</v>
      </c>
      <c r="L485" s="304">
        <f t="shared" ca="1" si="203"/>
        <v>1984.9323624128724</v>
      </c>
      <c r="M485" s="306">
        <f t="shared" ca="1" si="219"/>
        <v>-1.5013926773607258</v>
      </c>
      <c r="N485" s="304">
        <f t="shared" ca="1" si="220"/>
        <v>-86.023463804616497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1.7842999999999964</v>
      </c>
      <c r="T485" s="304">
        <f t="shared" ca="1" si="204"/>
        <v>17.503982999999966</v>
      </c>
      <c r="U485" s="311">
        <f t="shared" ca="1" si="205"/>
        <v>0</v>
      </c>
      <c r="V485" s="306">
        <f t="shared" ca="1" si="206"/>
        <v>1.0186238887887158</v>
      </c>
      <c r="W485" s="304">
        <f t="shared" ca="1" si="207"/>
        <v>14.7582519588897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 t="e">
        <f t="shared" ca="1" si="208"/>
        <v>#N/A</v>
      </c>
      <c r="AG485" s="306">
        <f t="shared" ca="1" si="230"/>
        <v>1.5480018287366057</v>
      </c>
      <c r="AH485" s="304">
        <f t="shared" ca="1" si="231"/>
        <v>-8.2379290687661051</v>
      </c>
    </row>
    <row r="486" spans="1:34" x14ac:dyDescent="0.2">
      <c r="A486" s="347">
        <f t="shared" ca="1" si="209"/>
        <v>0.1</v>
      </c>
      <c r="B486" s="304">
        <f t="shared" ca="1" si="210"/>
        <v>40.900000000000297</v>
      </c>
      <c r="D486" s="306">
        <f t="shared" ca="1" si="211"/>
        <v>-0.57358877019928967</v>
      </c>
      <c r="E486" s="307">
        <f t="shared" ca="1" si="212"/>
        <v>-1.5587407055257909</v>
      </c>
      <c r="F486" s="304">
        <f t="shared" ca="1" si="213"/>
        <v>1.660926447607411</v>
      </c>
      <c r="G486" s="306">
        <f t="shared" ca="1" si="214"/>
        <v>7.1472534067314442</v>
      </c>
      <c r="H486" s="307">
        <f t="shared" ca="1" si="215"/>
        <v>-103.79654341059585</v>
      </c>
      <c r="I486" s="304">
        <f t="shared" ca="1" si="216"/>
        <v>104.04232626795569</v>
      </c>
      <c r="J486" s="306">
        <f t="shared" ca="1" si="217"/>
        <v>746.08966399500878</v>
      </c>
      <c r="K486" s="307">
        <f t="shared" ca="1" si="218"/>
        <v>1829.2957613960546</v>
      </c>
      <c r="L486" s="304">
        <f t="shared" ca="1" si="203"/>
        <v>1975.5942825848012</v>
      </c>
      <c r="M486" s="306">
        <f t="shared" ca="1" si="219"/>
        <v>-1.5020465491181971</v>
      </c>
      <c r="N486" s="304">
        <f t="shared" ca="1" si="220"/>
        <v>-86.060927896662406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1.7842999999999964</v>
      </c>
      <c r="T486" s="304">
        <f t="shared" ca="1" si="204"/>
        <v>17.503982999999966</v>
      </c>
      <c r="U486" s="311">
        <f t="shared" ca="1" si="205"/>
        <v>0</v>
      </c>
      <c r="V486" s="306">
        <f t="shared" ca="1" si="206"/>
        <v>1.0196899128396937</v>
      </c>
      <c r="W486" s="304">
        <f t="shared" ca="1" si="207"/>
        <v>14.816828569698831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 t="e">
        <f t="shared" ca="1" si="208"/>
        <v>#N/A</v>
      </c>
      <c r="AG486" s="306">
        <f t="shared" ca="1" si="230"/>
        <v>1.5152108868314116</v>
      </c>
      <c r="AH486" s="304">
        <f t="shared" ca="1" si="231"/>
        <v>-8.271171865095404</v>
      </c>
    </row>
    <row r="487" spans="1:34" x14ac:dyDescent="0.2">
      <c r="A487" s="347">
        <f t="shared" ca="1" si="209"/>
        <v>0.1</v>
      </c>
      <c r="B487" s="304">
        <f t="shared" ca="1" si="210"/>
        <v>41.000000000000298</v>
      </c>
      <c r="D487" s="306">
        <f t="shared" ca="1" si="211"/>
        <v>-0.57044858477265981</v>
      </c>
      <c r="E487" s="307">
        <f t="shared" ca="1" si="212"/>
        <v>-1.5256160662916241</v>
      </c>
      <c r="F487" s="304">
        <f t="shared" ca="1" si="213"/>
        <v>1.6287774463063576</v>
      </c>
      <c r="G487" s="306">
        <f t="shared" ca="1" si="214"/>
        <v>7.0902085482541786</v>
      </c>
      <c r="H487" s="307">
        <f t="shared" ca="1" si="215"/>
        <v>-103.94910501722501</v>
      </c>
      <c r="I487" s="304">
        <f t="shared" ca="1" si="216"/>
        <v>104.19063053432305</v>
      </c>
      <c r="J487" s="306">
        <f t="shared" ca="1" si="217"/>
        <v>746.80153709275805</v>
      </c>
      <c r="K487" s="307">
        <f t="shared" ca="1" si="218"/>
        <v>1818.9084789746635</v>
      </c>
      <c r="L487" s="304">
        <f t="shared" ca="1" si="203"/>
        <v>1966.2503886051823</v>
      </c>
      <c r="M487" s="306">
        <f t="shared" ca="1" si="219"/>
        <v>-1.5026933483534761</v>
      </c>
      <c r="N487" s="304">
        <f t="shared" ca="1" si="220"/>
        <v>-86.097986763036175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1.7842999999999964</v>
      </c>
      <c r="T487" s="304">
        <f t="shared" ca="1" si="204"/>
        <v>17.503982999999966</v>
      </c>
      <c r="U487" s="311">
        <f t="shared" ca="1" si="205"/>
        <v>0</v>
      </c>
      <c r="V487" s="306">
        <f t="shared" ca="1" si="206"/>
        <v>1.0207585377021875</v>
      </c>
      <c r="W487" s="304">
        <f t="shared" ca="1" si="207"/>
        <v>14.874671342541232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>
        <f t="shared" ca="1" si="228"/>
        <v>41.000000000000298</v>
      </c>
      <c r="AD487" s="323">
        <f t="shared" ca="1" si="229"/>
        <v>746.80153709275805</v>
      </c>
      <c r="AE487" s="324" t="e">
        <f t="shared" ca="1" si="208"/>
        <v>#N/A</v>
      </c>
      <c r="AG487" s="306">
        <f t="shared" ca="1" si="230"/>
        <v>1.4828247233200855</v>
      </c>
      <c r="AH487" s="304">
        <f t="shared" ca="1" si="231"/>
        <v>-8.3040007676393319</v>
      </c>
    </row>
    <row r="488" spans="1:34" x14ac:dyDescent="0.2">
      <c r="A488" s="347">
        <f t="shared" ca="1" si="209"/>
        <v>0.1</v>
      </c>
      <c r="B488" s="304">
        <f t="shared" ca="1" si="210"/>
        <v>41.1000000000003</v>
      </c>
      <c r="D488" s="306">
        <f t="shared" ca="1" si="211"/>
        <v>-0.56729616342942657</v>
      </c>
      <c r="E488" s="307">
        <f t="shared" ca="1" si="212"/>
        <v>-1.4929063536199472</v>
      </c>
      <c r="F488" s="304">
        <f t="shared" ca="1" si="213"/>
        <v>1.5970580195223196</v>
      </c>
      <c r="G488" s="306">
        <f t="shared" ca="1" si="214"/>
        <v>7.0334789319112359</v>
      </c>
      <c r="H488" s="307">
        <f t="shared" ca="1" si="215"/>
        <v>-104.098395652587</v>
      </c>
      <c r="I488" s="304">
        <f t="shared" ca="1" si="216"/>
        <v>104.33573598402506</v>
      </c>
      <c r="J488" s="306">
        <f t="shared" ca="1" si="217"/>
        <v>747.50772146676627</v>
      </c>
      <c r="K488" s="307">
        <f t="shared" ca="1" si="218"/>
        <v>1808.5061039411728</v>
      </c>
      <c r="L488" s="304">
        <f t="shared" ca="1" si="203"/>
        <v>1956.9011527527182</v>
      </c>
      <c r="M488" s="306">
        <f t="shared" ca="1" si="219"/>
        <v>-1.5033331808538442</v>
      </c>
      <c r="N488" s="304">
        <f t="shared" ca="1" si="220"/>
        <v>-86.134646464902573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1.7842999999999964</v>
      </c>
      <c r="T488" s="304">
        <f t="shared" ca="1" si="204"/>
        <v>17.503982999999966</v>
      </c>
      <c r="U488" s="311">
        <f t="shared" ca="1" si="205"/>
        <v>0</v>
      </c>
      <c r="V488" s="306">
        <f t="shared" ca="1" si="206"/>
        <v>1.0218297354464301</v>
      </c>
      <c r="W488" s="304">
        <f t="shared" ca="1" si="207"/>
        <v>14.931785052098867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 t="e">
        <f t="shared" ca="1" si="208"/>
        <v>#N/A</v>
      </c>
      <c r="AG488" s="306">
        <f t="shared" ca="1" si="230"/>
        <v>1.4508409292732516</v>
      </c>
      <c r="AH488" s="304">
        <f t="shared" ca="1" si="231"/>
        <v>-8.3364183951920978</v>
      </c>
    </row>
    <row r="489" spans="1:34" x14ac:dyDescent="0.2">
      <c r="A489" s="347">
        <f t="shared" ca="1" si="209"/>
        <v>0.1</v>
      </c>
      <c r="B489" s="304">
        <f t="shared" ca="1" si="210"/>
        <v>41.200000000000301</v>
      </c>
      <c r="D489" s="306">
        <f t="shared" ca="1" si="211"/>
        <v>-0.56413229295472289</v>
      </c>
      <c r="E489" s="307">
        <f t="shared" ca="1" si="212"/>
        <v>-1.4606088664085632</v>
      </c>
      <c r="F489" s="304">
        <f t="shared" ca="1" si="213"/>
        <v>1.5657661078799929</v>
      </c>
      <c r="G489" s="306">
        <f t="shared" ca="1" si="214"/>
        <v>6.9770657026157634</v>
      </c>
      <c r="H489" s="307">
        <f t="shared" ca="1" si="215"/>
        <v>-104.24445653922785</v>
      </c>
      <c r="I489" s="304">
        <f t="shared" ca="1" si="216"/>
        <v>104.47768261680379</v>
      </c>
      <c r="J489" s="306">
        <f t="shared" ca="1" si="217"/>
        <v>748.20824869849264</v>
      </c>
      <c r="K489" s="307">
        <f t="shared" ca="1" si="218"/>
        <v>1798.0889613315821</v>
      </c>
      <c r="L489" s="304">
        <f t="shared" ca="1" si="203"/>
        <v>1947.5470459742312</v>
      </c>
      <c r="M489" s="306">
        <f t="shared" ca="1" si="219"/>
        <v>-1.5039661501038741</v>
      </c>
      <c r="N489" s="304">
        <f t="shared" ca="1" si="220"/>
        <v>-86.170912931490847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1.7842999999999964</v>
      </c>
      <c r="T489" s="304">
        <f t="shared" ca="1" si="204"/>
        <v>17.503982999999966</v>
      </c>
      <c r="U489" s="311">
        <f t="shared" ca="1" si="205"/>
        <v>0</v>
      </c>
      <c r="V489" s="306">
        <f t="shared" ca="1" si="206"/>
        <v>1.0229034784619364</v>
      </c>
      <c r="W489" s="304">
        <f t="shared" ca="1" si="207"/>
        <v>14.988174570078346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 t="e">
        <f t="shared" ca="1" si="208"/>
        <v>#N/A</v>
      </c>
      <c r="AG489" s="306">
        <f t="shared" ca="1" si="230"/>
        <v>1.419257032839063</v>
      </c>
      <c r="AH489" s="304">
        <f t="shared" ca="1" si="231"/>
        <v>-8.3684274236949481</v>
      </c>
    </row>
    <row r="490" spans="1:34" x14ac:dyDescent="0.2">
      <c r="A490" s="347">
        <f t="shared" ca="1" si="209"/>
        <v>0.1</v>
      </c>
      <c r="B490" s="304">
        <f t="shared" ca="1" si="210"/>
        <v>41.300000000000303</v>
      </c>
      <c r="D490" s="306">
        <f t="shared" ca="1" si="211"/>
        <v>-0.56095774539507193</v>
      </c>
      <c r="E490" s="307">
        <f t="shared" ca="1" si="212"/>
        <v>-1.4287208487579086</v>
      </c>
      <c r="F490" s="304">
        <f t="shared" ca="1" si="213"/>
        <v>1.5348996240126718</v>
      </c>
      <c r="G490" s="306">
        <f t="shared" ca="1" si="214"/>
        <v>6.9209699280762562</v>
      </c>
      <c r="H490" s="307">
        <f t="shared" ca="1" si="215"/>
        <v>-104.38732862410365</v>
      </c>
      <c r="I490" s="304">
        <f t="shared" ca="1" si="216"/>
        <v>104.61651017894808</v>
      </c>
      <c r="J490" s="306">
        <f t="shared" ca="1" si="217"/>
        <v>748.90315048002719</v>
      </c>
      <c r="K490" s="307">
        <f t="shared" ca="1" si="218"/>
        <v>1787.6573720734157</v>
      </c>
      <c r="L490" s="304">
        <f t="shared" ca="1" si="203"/>
        <v>1938.1885379723358</v>
      </c>
      <c r="M490" s="306">
        <f t="shared" ca="1" si="219"/>
        <v>-1.5045923573500257</v>
      </c>
      <c r="N490" s="304">
        <f t="shared" ca="1" si="220"/>
        <v>-86.206791963795837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1.7842999999999964</v>
      </c>
      <c r="T490" s="304">
        <f t="shared" ca="1" si="204"/>
        <v>17.503982999999966</v>
      </c>
      <c r="U490" s="311">
        <f t="shared" ca="1" si="205"/>
        <v>0</v>
      </c>
      <c r="V490" s="306">
        <f t="shared" ca="1" si="206"/>
        <v>1.0239797394558958</v>
      </c>
      <c r="W490" s="304">
        <f t="shared" ca="1" si="207"/>
        <v>15.043844860371845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 t="e">
        <f t="shared" ca="1" si="208"/>
        <v>#N/A</v>
      </c>
      <c r="AG490" s="306">
        <f t="shared" ca="1" si="230"/>
        <v>1.3880705022040267</v>
      </c>
      <c r="AH490" s="304">
        <f t="shared" ca="1" si="231"/>
        <v>-8.4000305834659965</v>
      </c>
    </row>
    <row r="491" spans="1:34" x14ac:dyDescent="0.2">
      <c r="A491" s="347">
        <f t="shared" ca="1" si="209"/>
        <v>0.1</v>
      </c>
      <c r="B491" s="304">
        <f t="shared" ca="1" si="210"/>
        <v>41.400000000000304</v>
      </c>
      <c r="D491" s="306">
        <f t="shared" ca="1" si="211"/>
        <v>-0.55777327814144206</v>
      </c>
      <c r="E491" s="307">
        <f t="shared" ca="1" si="212"/>
        <v>-1.3972394927052854</v>
      </c>
      <c r="F491" s="304">
        <f t="shared" ca="1" si="213"/>
        <v>1.50445645659287</v>
      </c>
      <c r="G491" s="306">
        <f t="shared" ca="1" si="214"/>
        <v>6.8651926002621124</v>
      </c>
      <c r="H491" s="307">
        <f t="shared" ca="1" si="215"/>
        <v>-104.52705257337418</v>
      </c>
      <c r="I491" s="304">
        <f t="shared" ca="1" si="216"/>
        <v>104.75225815759593</v>
      </c>
      <c r="J491" s="306">
        <f t="shared" ca="1" si="217"/>
        <v>749.5924586064441</v>
      </c>
      <c r="K491" s="307">
        <f t="shared" ca="1" si="218"/>
        <v>1777.2116530135418</v>
      </c>
      <c r="L491" s="304">
        <f t="shared" ca="1" si="203"/>
        <v>1928.8260972951343</v>
      </c>
      <c r="M491" s="306">
        <f t="shared" ca="1" si="219"/>
        <v>-1.505211901663108</v>
      </c>
      <c r="N491" s="304">
        <f t="shared" ca="1" si="220"/>
        <v>-86.242289238156786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1.7842999999999964</v>
      </c>
      <c r="T491" s="304">
        <f t="shared" ca="1" si="204"/>
        <v>17.503982999999966</v>
      </c>
      <c r="U491" s="311">
        <f t="shared" ca="1" si="205"/>
        <v>0</v>
      </c>
      <c r="V491" s="306">
        <f t="shared" ca="1" si="206"/>
        <v>1.0250584914515148</v>
      </c>
      <c r="W491" s="304">
        <f t="shared" ca="1" si="207"/>
        <v>15.098800974321636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 t="e">
        <f t="shared" ca="1" si="208"/>
        <v>#N/A</v>
      </c>
      <c r="AG491" s="306">
        <f t="shared" ca="1" si="230"/>
        <v>1.3572787484883477</v>
      </c>
      <c r="AH491" s="304">
        <f t="shared" ca="1" si="231"/>
        <v>-8.4312306564881894</v>
      </c>
    </row>
    <row r="492" spans="1:34" x14ac:dyDescent="0.2">
      <c r="A492" s="347">
        <f t="shared" ca="1" si="209"/>
        <v>0.1</v>
      </c>
      <c r="B492" s="304">
        <f t="shared" ca="1" si="210"/>
        <v>41.500000000000306</v>
      </c>
      <c r="D492" s="306">
        <f t="shared" ca="1" si="211"/>
        <v>-0.55457963401818133</v>
      </c>
      <c r="E492" s="307">
        <f t="shared" ca="1" si="212"/>
        <v>-1.3661619409005485</v>
      </c>
      <c r="F492" s="304">
        <f t="shared" ca="1" si="213"/>
        <v>1.4744344743775133</v>
      </c>
      <c r="G492" s="306">
        <f t="shared" ca="1" si="214"/>
        <v>6.809734636860294</v>
      </c>
      <c r="H492" s="307">
        <f t="shared" ca="1" si="215"/>
        <v>-104.66366876746423</v>
      </c>
      <c r="I492" s="304">
        <f t="shared" ca="1" si="216"/>
        <v>104.8849657753194</v>
      </c>
      <c r="J492" s="306">
        <f t="shared" ca="1" si="217"/>
        <v>750.27620496830025</v>
      </c>
      <c r="K492" s="307">
        <f t="shared" ca="1" si="218"/>
        <v>1766.7521169464999</v>
      </c>
      <c r="L492" s="304">
        <f t="shared" ca="1" si="203"/>
        <v>1919.4601914279372</v>
      </c>
      <c r="M492" s="306">
        <f t="shared" ca="1" si="219"/>
        <v>-1.5058248799986906</v>
      </c>
      <c r="N492" s="304">
        <f t="shared" ca="1" si="220"/>
        <v>-86.277410309718633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1.7842999999999964</v>
      </c>
      <c r="T492" s="304">
        <f t="shared" ca="1" si="204"/>
        <v>17.503982999999966</v>
      </c>
      <c r="U492" s="311">
        <f t="shared" ca="1" si="205"/>
        <v>0</v>
      </c>
      <c r="V492" s="306">
        <f t="shared" ca="1" si="206"/>
        <v>1.0261397077863106</v>
      </c>
      <c r="W492" s="304">
        <f t="shared" ca="1" si="207"/>
        <v>15.153048046087994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 t="e">
        <f t="shared" ca="1" si="208"/>
        <v>#N/A</v>
      </c>
      <c r="AG492" s="306">
        <f t="shared" ca="1" si="230"/>
        <v>1.3268791285761701</v>
      </c>
      <c r="AH492" s="304">
        <f t="shared" ca="1" si="231"/>
        <v>-8.4620304737553464</v>
      </c>
    </row>
    <row r="493" spans="1:34" x14ac:dyDescent="0.2">
      <c r="A493" s="347">
        <f t="shared" ca="1" si="209"/>
        <v>0.1</v>
      </c>
      <c r="B493" s="304">
        <f t="shared" ca="1" si="210"/>
        <v>41.600000000000307</v>
      </c>
      <c r="D493" s="306">
        <f t="shared" ca="1" si="211"/>
        <v>-0.5513775413775398</v>
      </c>
      <c r="E493" s="307">
        <f t="shared" ca="1" si="212"/>
        <v>-1.3354852892233833</v>
      </c>
      <c r="F493" s="304">
        <f t="shared" ca="1" si="213"/>
        <v>1.4448315302718182</v>
      </c>
      <c r="G493" s="306">
        <f t="shared" ca="1" si="214"/>
        <v>6.7545968827225398</v>
      </c>
      <c r="H493" s="307">
        <f t="shared" ca="1" si="215"/>
        <v>-104.79721729638656</v>
      </c>
      <c r="I493" s="304">
        <f t="shared" ca="1" si="216"/>
        <v>105.01467198498572</v>
      </c>
      <c r="J493" s="306">
        <f t="shared" ca="1" si="217"/>
        <v>750.9544215442794</v>
      </c>
      <c r="K493" s="307">
        <f t="shared" ca="1" si="218"/>
        <v>1756.2790726433072</v>
      </c>
      <c r="L493" s="304">
        <f t="shared" ca="1" si="203"/>
        <v>1910.0912868870269</v>
      </c>
      <c r="M493" s="306">
        <f t="shared" ca="1" si="219"/>
        <v>-1.506431387255541</v>
      </c>
      <c r="N493" s="304">
        <f t="shared" ca="1" si="220"/>
        <v>-86.312160615780215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1.7842999999999964</v>
      </c>
      <c r="T493" s="304">
        <f t="shared" ca="1" si="204"/>
        <v>17.503982999999966</v>
      </c>
      <c r="U493" s="311">
        <f t="shared" ca="1" si="205"/>
        <v>0</v>
      </c>
      <c r="V493" s="306">
        <f t="shared" ca="1" si="206"/>
        <v>1.027223362110361</v>
      </c>
      <c r="W493" s="304">
        <f t="shared" ca="1" si="207"/>
        <v>15.206591288120249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 t="e">
        <f t="shared" ca="1" si="208"/>
        <v>#N/A</v>
      </c>
      <c r="AG493" s="306">
        <f t="shared" ca="1" si="230"/>
        <v>1.2968689478811779</v>
      </c>
      <c r="AH493" s="304">
        <f t="shared" ca="1" si="231"/>
        <v>-8.4924329126761329</v>
      </c>
    </row>
    <row r="494" spans="1:34" x14ac:dyDescent="0.2">
      <c r="A494" s="347">
        <f t="shared" ca="1" si="209"/>
        <v>0.1</v>
      </c>
      <c r="B494" s="304">
        <f t="shared" ca="1" si="210"/>
        <v>41.700000000000308</v>
      </c>
      <c r="D494" s="306">
        <f t="shared" ca="1" si="211"/>
        <v>-0.5481677141994894</v>
      </c>
      <c r="E494" s="307">
        <f t="shared" ca="1" si="212"/>
        <v>-1.3052065893423404</v>
      </c>
      <c r="F494" s="304">
        <f t="shared" ca="1" si="213"/>
        <v>1.4156454654161676</v>
      </c>
      <c r="G494" s="306">
        <f t="shared" ca="1" si="214"/>
        <v>6.6997801113025908</v>
      </c>
      <c r="H494" s="307">
        <f t="shared" ca="1" si="215"/>
        <v>-104.92773795532079</v>
      </c>
      <c r="I494" s="304">
        <f t="shared" ca="1" si="216"/>
        <v>105.1414154648884</v>
      </c>
      <c r="J494" s="306">
        <f t="shared" ca="1" si="217"/>
        <v>751.62714039398065</v>
      </c>
      <c r="K494" s="307">
        <f t="shared" ca="1" si="218"/>
        <v>1745.7928248807218</v>
      </c>
      <c r="L494" s="304">
        <f t="shared" ca="1" si="203"/>
        <v>1900.7198493154754</v>
      </c>
      <c r="M494" s="306">
        <f t="shared" ca="1" si="219"/>
        <v>-1.5070315163321597</v>
      </c>
      <c r="N494" s="304">
        <f t="shared" ca="1" si="220"/>
        <v>-86.346545479033537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1.7842999999999964</v>
      </c>
      <c r="T494" s="304">
        <f t="shared" ca="1" si="204"/>
        <v>17.503982999999966</v>
      </c>
      <c r="U494" s="311">
        <f t="shared" ca="1" si="205"/>
        <v>0</v>
      </c>
      <c r="V494" s="306">
        <f t="shared" ca="1" si="206"/>
        <v>1.028309428384512</v>
      </c>
      <c r="W494" s="304">
        <f t="shared" ca="1" si="207"/>
        <v>15.259435986730621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 t="e">
        <f t="shared" ca="1" si="208"/>
        <v>#N/A</v>
      </c>
      <c r="AG494" s="306">
        <f t="shared" ca="1" si="230"/>
        <v>1.2672454630479688</v>
      </c>
      <c r="AH494" s="304">
        <f t="shared" ca="1" si="231"/>
        <v>-8.5224408945358281</v>
      </c>
    </row>
    <row r="495" spans="1:34" x14ac:dyDescent="0.2">
      <c r="A495" s="347">
        <f t="shared" ca="1" si="209"/>
        <v>0.1</v>
      </c>
      <c r="B495" s="304">
        <f t="shared" ca="1" si="210"/>
        <v>41.80000000000031</v>
      </c>
      <c r="D495" s="306">
        <f t="shared" ca="1" si="211"/>
        <v>-0.54495085219659667</v>
      </c>
      <c r="E495" s="307">
        <f t="shared" ca="1" si="212"/>
        <v>-1.2753228512157655</v>
      </c>
      <c r="F495" s="304">
        <f t="shared" ca="1" si="213"/>
        <v>1.386874113300449</v>
      </c>
      <c r="G495" s="306">
        <f t="shared" ca="1" si="214"/>
        <v>6.6452850260829308</v>
      </c>
      <c r="H495" s="307">
        <f t="shared" ca="1" si="215"/>
        <v>-105.05527024044237</v>
      </c>
      <c r="I495" s="304">
        <f t="shared" ca="1" si="216"/>
        <v>105.26523461414152</v>
      </c>
      <c r="J495" s="306">
        <f t="shared" ca="1" si="217"/>
        <v>752.29439365084988</v>
      </c>
      <c r="K495" s="307">
        <f t="shared" ca="1" si="218"/>
        <v>1735.2936744709336</v>
      </c>
      <c r="L495" s="304">
        <f t="shared" ca="1" si="203"/>
        <v>1891.3463435810309</v>
      </c>
      <c r="M495" s="306">
        <f t="shared" ca="1" si="219"/>
        <v>-1.5076253581814865</v>
      </c>
      <c r="N495" s="304">
        <f t="shared" ca="1" si="220"/>
        <v>-86.380570110698216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1.7842999999999964</v>
      </c>
      <c r="T495" s="304">
        <f t="shared" ca="1" si="204"/>
        <v>17.503982999999966</v>
      </c>
      <c r="U495" s="311">
        <f t="shared" ca="1" si="205"/>
        <v>0</v>
      </c>
      <c r="V495" s="306">
        <f t="shared" ca="1" si="206"/>
        <v>1.0293978808785398</v>
      </c>
      <c r="W495" s="304">
        <f t="shared" ca="1" si="207"/>
        <v>15.311587497770283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 t="e">
        <f t="shared" ca="1" si="208"/>
        <v>#N/A</v>
      </c>
      <c r="AG495" s="306">
        <f t="shared" ca="1" si="230"/>
        <v>1.2380058845896418</v>
      </c>
      <c r="AH495" s="304">
        <f t="shared" ca="1" si="231"/>
        <v>-8.5520573820157217</v>
      </c>
    </row>
    <row r="496" spans="1:34" x14ac:dyDescent="0.2">
      <c r="A496" s="347">
        <f t="shared" ca="1" si="209"/>
        <v>0.1</v>
      </c>
      <c r="B496" s="304">
        <f t="shared" ca="1" si="210"/>
        <v>41.900000000000311</v>
      </c>
      <c r="D496" s="306">
        <f t="shared" ca="1" si="211"/>
        <v>-0.54172764092364256</v>
      </c>
      <c r="E496" s="307">
        <f t="shared" ca="1" si="212"/>
        <v>-1.2458310455350006</v>
      </c>
      <c r="F496" s="304">
        <f t="shared" ca="1" si="213"/>
        <v>1.3585153039106801</v>
      </c>
      <c r="G496" s="306">
        <f t="shared" ca="1" si="214"/>
        <v>6.5911122619905669</v>
      </c>
      <c r="H496" s="307">
        <f t="shared" ca="1" si="215"/>
        <v>-105.17985334499586</v>
      </c>
      <c r="I496" s="304">
        <f t="shared" ca="1" si="216"/>
        <v>105.3861675483315</v>
      </c>
      <c r="J496" s="306">
        <f t="shared" ca="1" si="217"/>
        <v>752.95621351525358</v>
      </c>
      <c r="K496" s="307">
        <f t="shared" ca="1" si="218"/>
        <v>1724.7819182916617</v>
      </c>
      <c r="L496" s="304">
        <f t="shared" ca="1" si="203"/>
        <v>1881.9712338760901</v>
      </c>
      <c r="M496" s="306">
        <f t="shared" ca="1" si="219"/>
        <v>-1.5082130018638453</v>
      </c>
      <c r="N496" s="304">
        <f t="shared" ca="1" si="220"/>
        <v>-86.414239613554898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1.7842999999999964</v>
      </c>
      <c r="T496" s="304">
        <f t="shared" ca="1" si="204"/>
        <v>17.503982999999966</v>
      </c>
      <c r="U496" s="311">
        <f t="shared" ca="1" si="205"/>
        <v>0</v>
      </c>
      <c r="V496" s="306">
        <f t="shared" ca="1" si="206"/>
        <v>1.0304886941692781</v>
      </c>
      <c r="W496" s="304">
        <f t="shared" ca="1" si="207"/>
        <v>15.363051242407336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 t="e">
        <f t="shared" ca="1" si="208"/>
        <v>#N/A</v>
      </c>
      <c r="AG496" s="306">
        <f t="shared" ca="1" si="230"/>
        <v>1.2091473794622409</v>
      </c>
      <c r="AH496" s="304">
        <f t="shared" ca="1" si="231"/>
        <v>-8.5812853767697774</v>
      </c>
    </row>
    <row r="497" spans="1:34" x14ac:dyDescent="0.2">
      <c r="A497" s="347">
        <f t="shared" ca="1" si="209"/>
        <v>0.1</v>
      </c>
      <c r="B497" s="304">
        <f t="shared" ca="1" si="210"/>
        <v>42.000000000000313</v>
      </c>
      <c r="D497" s="306">
        <f t="shared" ca="1" si="211"/>
        <v>-0.53849875189174889</v>
      </c>
      <c r="E497" s="307">
        <f t="shared" ca="1" si="212"/>
        <v>-1.2167281061099882</v>
      </c>
      <c r="F497" s="304">
        <f t="shared" ca="1" si="213"/>
        <v>1.3305668679126841</v>
      </c>
      <c r="G497" s="306">
        <f t="shared" ca="1" si="214"/>
        <v>6.5372623868013919</v>
      </c>
      <c r="H497" s="307">
        <f t="shared" ca="1" si="215"/>
        <v>-105.30152615560687</v>
      </c>
      <c r="I497" s="304">
        <f t="shared" ca="1" si="216"/>
        <v>105.50425209541957</v>
      </c>
      <c r="J497" s="306">
        <f t="shared" ca="1" si="217"/>
        <v>753.61263224769323</v>
      </c>
      <c r="K497" s="307">
        <f t="shared" ca="1" si="218"/>
        <v>1714.2578493166316</v>
      </c>
      <c r="L497" s="304">
        <f t="shared" ca="1" si="203"/>
        <v>1872.5949838197741</v>
      </c>
      <c r="M497" s="306">
        <f t="shared" ca="1" si="219"/>
        <v>-1.5087945345981912</v>
      </c>
      <c r="N497" s="304">
        <f t="shared" ca="1" si="220"/>
        <v>-86.447558984881624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1.7842999999999964</v>
      </c>
      <c r="T497" s="304">
        <f t="shared" ca="1" si="204"/>
        <v>17.503982999999966</v>
      </c>
      <c r="U497" s="311">
        <f t="shared" ca="1" si="205"/>
        <v>0</v>
      </c>
      <c r="V497" s="306">
        <f t="shared" ca="1" si="206"/>
        <v>1.0315818431387043</v>
      </c>
      <c r="W497" s="304">
        <f t="shared" ca="1" si="207"/>
        <v>15.413832703005856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>
        <f t="shared" ca="1" si="228"/>
        <v>42.000000000000313</v>
      </c>
      <c r="AD497" s="323">
        <f t="shared" ca="1" si="229"/>
        <v>753.61263224769323</v>
      </c>
      <c r="AE497" s="324" t="e">
        <f t="shared" ca="1" si="208"/>
        <v>#N/A</v>
      </c>
      <c r="AG497" s="306">
        <f t="shared" ca="1" si="230"/>
        <v>1.1806670735764193</v>
      </c>
      <c r="AH497" s="304">
        <f t="shared" ca="1" si="231"/>
        <v>-8.6101279170584348</v>
      </c>
    </row>
    <row r="498" spans="1:34" x14ac:dyDescent="0.2">
      <c r="A498" s="347">
        <f t="shared" ca="1" si="209"/>
        <v>0.1</v>
      </c>
      <c r="B498" s="304">
        <f t="shared" ca="1" si="210"/>
        <v>42.100000000000314</v>
      </c>
      <c r="D498" s="306">
        <f t="shared" ca="1" si="211"/>
        <v>-0.53526484268675656</v>
      </c>
      <c r="E498" s="307">
        <f t="shared" ca="1" si="212"/>
        <v>-1.1880109321977699</v>
      </c>
      <c r="F498" s="304">
        <f t="shared" ca="1" si="213"/>
        <v>1.3030266408780338</v>
      </c>
      <c r="G498" s="306">
        <f t="shared" ca="1" si="214"/>
        <v>6.4837359025327164</v>
      </c>
      <c r="H498" s="307">
        <f t="shared" ca="1" si="215"/>
        <v>-105.42032724882664</v>
      </c>
      <c r="I498" s="304">
        <f t="shared" ca="1" si="216"/>
        <v>105.61952579188893</v>
      </c>
      <c r="J498" s="306">
        <f t="shared" ca="1" si="217"/>
        <v>754.26368216215997</v>
      </c>
      <c r="K498" s="307">
        <f t="shared" ca="1" si="218"/>
        <v>1703.7217566464099</v>
      </c>
      <c r="L498" s="304">
        <f t="shared" ca="1" si="203"/>
        <v>1863.2180565621268</v>
      </c>
      <c r="M498" s="306">
        <f t="shared" ca="1" si="219"/>
        <v>-1.5093700418117217</v>
      </c>
      <c r="N498" s="304">
        <f t="shared" ca="1" si="220"/>
        <v>-86.480533119296254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1.7842999999999964</v>
      </c>
      <c r="T498" s="304">
        <f t="shared" ca="1" si="204"/>
        <v>17.503982999999966</v>
      </c>
      <c r="U498" s="311">
        <f t="shared" ca="1" si="205"/>
        <v>0</v>
      </c>
      <c r="V498" s="306">
        <f t="shared" ca="1" si="206"/>
        <v>1.0326773029719916</v>
      </c>
      <c r="W498" s="304">
        <f t="shared" ca="1" si="207"/>
        <v>15.463937419105465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 t="e">
        <f t="shared" ca="1" si="208"/>
        <v>#N/A</v>
      </c>
      <c r="AG498" s="306">
        <f t="shared" ca="1" si="230"/>
        <v>1.1525620542470651</v>
      </c>
      <c r="AH498" s="304">
        <f t="shared" ca="1" si="231"/>
        <v>-8.6385880754390438</v>
      </c>
    </row>
    <row r="499" spans="1:34" x14ac:dyDescent="0.2">
      <c r="A499" s="347">
        <f t="shared" ca="1" si="209"/>
        <v>0.1</v>
      </c>
      <c r="B499" s="304">
        <f t="shared" ca="1" si="210"/>
        <v>42.200000000000315</v>
      </c>
      <c r="D499" s="306">
        <f t="shared" ca="1" si="211"/>
        <v>-0.53202655709160573</v>
      </c>
      <c r="E499" s="307">
        <f t="shared" ca="1" si="212"/>
        <v>-1.1596763907742123</v>
      </c>
      <c r="F499" s="304">
        <f t="shared" ca="1" si="213"/>
        <v>1.275892467557455</v>
      </c>
      <c r="G499" s="306">
        <f t="shared" ca="1" si="214"/>
        <v>6.4305332468235559</v>
      </c>
      <c r="H499" s="307">
        <f t="shared" ca="1" si="215"/>
        <v>-105.53629488790406</v>
      </c>
      <c r="I499" s="304">
        <f t="shared" ca="1" si="216"/>
        <v>105.73202587913063</v>
      </c>
      <c r="J499" s="306">
        <f t="shared" ca="1" si="217"/>
        <v>754.90939561962773</v>
      </c>
      <c r="K499" s="307">
        <f t="shared" ca="1" si="218"/>
        <v>1693.1739255395732</v>
      </c>
      <c r="L499" s="304">
        <f t="shared" ca="1" si="203"/>
        <v>1853.8409148904552</v>
      </c>
      <c r="M499" s="306">
        <f t="shared" ca="1" si="219"/>
        <v>-1.5099396071879152</v>
      </c>
      <c r="N499" s="304">
        <f t="shared" ca="1" si="220"/>
        <v>-86.513166811508924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1.7842999999999964</v>
      </c>
      <c r="T499" s="304">
        <f t="shared" ca="1" si="204"/>
        <v>17.503982999999966</v>
      </c>
      <c r="U499" s="311">
        <f t="shared" ca="1" si="205"/>
        <v>0</v>
      </c>
      <c r="V499" s="306">
        <f t="shared" ca="1" si="206"/>
        <v>1.0337750491555249</v>
      </c>
      <c r="W499" s="304">
        <f t="shared" ca="1" si="207"/>
        <v>15.513370983500677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 t="e">
        <f t="shared" ca="1" si="208"/>
        <v>#N/A</v>
      </c>
      <c r="AG499" s="306">
        <f t="shared" ca="1" si="230"/>
        <v>1.1248293725814413</v>
      </c>
      <c r="AH499" s="304">
        <f t="shared" ca="1" si="231"/>
        <v>-8.6666689565126358</v>
      </c>
    </row>
    <row r="500" spans="1:34" x14ac:dyDescent="0.2">
      <c r="A500" s="347">
        <f t="shared" ca="1" si="209"/>
        <v>0.1</v>
      </c>
      <c r="B500" s="304">
        <f t="shared" ca="1" si="210"/>
        <v>42.300000000000317</v>
      </c>
      <c r="D500" s="306">
        <f t="shared" ca="1" si="211"/>
        <v>-0.52878452521246155</v>
      </c>
      <c r="E500" s="307">
        <f t="shared" ca="1" si="212"/>
        <v>-1.1317213187493191</v>
      </c>
      <c r="F500" s="304">
        <f t="shared" ca="1" si="213"/>
        <v>1.2491622062069707</v>
      </c>
      <c r="G500" s="306">
        <f t="shared" ca="1" si="214"/>
        <v>6.3776547943023099</v>
      </c>
      <c r="H500" s="307">
        <f t="shared" ca="1" si="215"/>
        <v>-105.649467019779</v>
      </c>
      <c r="I500" s="304">
        <f t="shared" ca="1" si="216"/>
        <v>105.84178930006171</v>
      </c>
      <c r="J500" s="306">
        <f t="shared" ca="1" si="217"/>
        <v>755.54980502168405</v>
      </c>
      <c r="K500" s="307">
        <f t="shared" ca="1" si="218"/>
        <v>1682.6146374441892</v>
      </c>
      <c r="L500" s="304">
        <f t="shared" ca="1" si="203"/>
        <v>1844.464021337837</v>
      </c>
      <c r="M500" s="306">
        <f t="shared" ca="1" si="219"/>
        <v>-1.5105033127130496</v>
      </c>
      <c r="N500" s="304">
        <f t="shared" ca="1" si="220"/>
        <v>-86.545464758987336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1.7842999999999964</v>
      </c>
      <c r="T500" s="304">
        <f t="shared" ca="1" si="204"/>
        <v>17.503982999999966</v>
      </c>
      <c r="U500" s="311">
        <f t="shared" ca="1" si="205"/>
        <v>0</v>
      </c>
      <c r="V500" s="306">
        <f t="shared" ca="1" si="206"/>
        <v>1.0348750574748864</v>
      </c>
      <c r="W500" s="304">
        <f t="shared" ca="1" si="207"/>
        <v>15.562139038419149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 t="e">
        <f t="shared" ca="1" si="208"/>
        <v>#N/A</v>
      </c>
      <c r="AG500" s="306">
        <f t="shared" ca="1" si="230"/>
        <v>1.0974660458064172</v>
      </c>
      <c r="AH500" s="304">
        <f t="shared" ca="1" si="231"/>
        <v>-8.6943736947266199</v>
      </c>
    </row>
    <row r="501" spans="1:34" x14ac:dyDescent="0.2">
      <c r="A501" s="347">
        <f t="shared" ca="1" si="209"/>
        <v>0.1</v>
      </c>
      <c r="B501" s="304">
        <f t="shared" ca="1" si="210"/>
        <v>42.400000000000318</v>
      </c>
      <c r="D501" s="306">
        <f t="shared" ca="1" si="211"/>
        <v>-0.52553936360837228</v>
      </c>
      <c r="E501" s="307">
        <f t="shared" ca="1" si="212"/>
        <v>-1.1041425251266972</v>
      </c>
      <c r="F501" s="304">
        <f t="shared" ca="1" si="213"/>
        <v>1.2228337329723336</v>
      </c>
      <c r="G501" s="306">
        <f t="shared" ca="1" si="214"/>
        <v>6.3251008579414725</v>
      </c>
      <c r="H501" s="307">
        <f t="shared" ca="1" si="215"/>
        <v>-105.75988127229166</v>
      </c>
      <c r="I501" s="304">
        <f t="shared" ca="1" si="216"/>
        <v>105.94885269597006</v>
      </c>
      <c r="J501" s="306">
        <f t="shared" ca="1" si="217"/>
        <v>756.18494280429627</v>
      </c>
      <c r="K501" s="307">
        <f t="shared" ca="1" si="218"/>
        <v>1672.0441700295855</v>
      </c>
      <c r="L501" s="304">
        <f t="shared" ca="1" si="203"/>
        <v>1835.0878382938138</v>
      </c>
      <c r="M501" s="306">
        <f t="shared" ca="1" si="219"/>
        <v>-1.5110612387212581</v>
      </c>
      <c r="N501" s="304">
        <f t="shared" ca="1" si="220"/>
        <v>-86.577431564538259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1.7842999999999964</v>
      </c>
      <c r="T501" s="304">
        <f t="shared" ca="1" si="204"/>
        <v>17.503982999999966</v>
      </c>
      <c r="U501" s="311">
        <f t="shared" ca="1" si="205"/>
        <v>0</v>
      </c>
      <c r="V501" s="306">
        <f t="shared" ca="1" si="206"/>
        <v>1.0359773040128089</v>
      </c>
      <c r="W501" s="304">
        <f t="shared" ca="1" si="207"/>
        <v>15.610247271798096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 t="e">
        <f t="shared" ca="1" si="208"/>
        <v>#N/A</v>
      </c>
      <c r="AG501" s="306">
        <f t="shared" ca="1" si="230"/>
        <v>1.0704690595355508</v>
      </c>
      <c r="AH501" s="304">
        <f t="shared" ca="1" si="231"/>
        <v>-8.7217054522329089</v>
      </c>
    </row>
    <row r="502" spans="1:34" x14ac:dyDescent="0.2">
      <c r="A502" s="347">
        <f t="shared" ca="1" si="209"/>
        <v>0.1</v>
      </c>
      <c r="B502" s="304">
        <f t="shared" ca="1" si="210"/>
        <v>42.50000000000032</v>
      </c>
      <c r="D502" s="306">
        <f t="shared" ca="1" si="211"/>
        <v>-0.52229167542422794</v>
      </c>
      <c r="E502" s="307">
        <f t="shared" ca="1" si="212"/>
        <v>-1.076936793107528</v>
      </c>
      <c r="F502" s="304">
        <f t="shared" ca="1" si="213"/>
        <v>1.1969049463370822</v>
      </c>
      <c r="G502" s="306">
        <f t="shared" ca="1" si="214"/>
        <v>6.2728716903990493</v>
      </c>
      <c r="H502" s="307">
        <f t="shared" ca="1" si="215"/>
        <v>-105.86757495160242</v>
      </c>
      <c r="I502" s="304">
        <f t="shared" ca="1" si="216"/>
        <v>106.05325240357962</v>
      </c>
      <c r="J502" s="306">
        <f t="shared" ca="1" si="217"/>
        <v>756.81484143171326</v>
      </c>
      <c r="K502" s="307">
        <f t="shared" ca="1" si="218"/>
        <v>1661.4627972183907</v>
      </c>
      <c r="L502" s="304">
        <f t="shared" ca="1" si="203"/>
        <v>1825.7128281172998</v>
      </c>
      <c r="M502" s="306">
        <f t="shared" ca="1" si="219"/>
        <v>-1.5116134639381746</v>
      </c>
      <c r="N502" s="304">
        <f t="shared" ca="1" si="220"/>
        <v>-86.609071738808268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1.7842999999999964</v>
      </c>
      <c r="T502" s="304">
        <f t="shared" ca="1" si="204"/>
        <v>17.503982999999966</v>
      </c>
      <c r="U502" s="311">
        <f t="shared" ca="1" si="205"/>
        <v>0</v>
      </c>
      <c r="V502" s="306">
        <f t="shared" ca="1" si="206"/>
        <v>1.0370817651470994</v>
      </c>
      <c r="W502" s="304">
        <f t="shared" ca="1" si="207"/>
        <v>15.657701413657724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 t="e">
        <f t="shared" ca="1" si="208"/>
        <v>#N/A</v>
      </c>
      <c r="AG502" s="306">
        <f t="shared" ca="1" si="230"/>
        <v>1.043835369976593</v>
      </c>
      <c r="AH502" s="304">
        <f t="shared" ca="1" si="231"/>
        <v>-8.748667416801057</v>
      </c>
    </row>
    <row r="503" spans="1:34" x14ac:dyDescent="0.2">
      <c r="A503" s="347">
        <f t="shared" ca="1" si="209"/>
        <v>0.1</v>
      </c>
      <c r="B503" s="304">
        <f t="shared" ca="1" si="210"/>
        <v>42.600000000000321</v>
      </c>
      <c r="D503" s="306">
        <f t="shared" ca="1" si="211"/>
        <v>-0.51904205052677876</v>
      </c>
      <c r="E503" s="307">
        <f t="shared" ca="1" si="212"/>
        <v>-1.0501008821397377</v>
      </c>
      <c r="F503" s="304">
        <f t="shared" ca="1" si="213"/>
        <v>1.1713737716398205</v>
      </c>
      <c r="G503" s="306">
        <f t="shared" ca="1" si="214"/>
        <v>6.2209674853463719</v>
      </c>
      <c r="H503" s="307">
        <f t="shared" ca="1" si="215"/>
        <v>-105.97258503981639</v>
      </c>
      <c r="I503" s="304">
        <f t="shared" ca="1" si="216"/>
        <v>106.15502445233035</v>
      </c>
      <c r="J503" s="306">
        <f t="shared" ca="1" si="217"/>
        <v>757.43953339050051</v>
      </c>
      <c r="K503" s="307">
        <f t="shared" ca="1" si="218"/>
        <v>1650.8707892188197</v>
      </c>
      <c r="L503" s="304">
        <f t="shared" ca="1" si="203"/>
        <v>1816.3394532517284</v>
      </c>
      <c r="M503" s="306">
        <f t="shared" ca="1" si="219"/>
        <v>-1.5121600655232195</v>
      </c>
      <c r="N503" s="304">
        <f t="shared" ca="1" si="220"/>
        <v>-86.6403897027065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1.7842999999999964</v>
      </c>
      <c r="T503" s="304">
        <f t="shared" ca="1" si="204"/>
        <v>17.503982999999966</v>
      </c>
      <c r="U503" s="311">
        <f t="shared" ca="1" si="205"/>
        <v>0</v>
      </c>
      <c r="V503" s="306">
        <f t="shared" ca="1" si="206"/>
        <v>1.0381884175485376</v>
      </c>
      <c r="W503" s="304">
        <f t="shared" ca="1" si="207"/>
        <v>15.704507232571025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 t="e">
        <f t="shared" ca="1" si="208"/>
        <v>#N/A</v>
      </c>
      <c r="AG503" s="306">
        <f t="shared" ca="1" si="230"/>
        <v>1.0175619060802497</v>
      </c>
      <c r="AH503" s="304">
        <f t="shared" ca="1" si="231"/>
        <v>-8.7752627997857733</v>
      </c>
    </row>
    <row r="504" spans="1:34" x14ac:dyDescent="0.2">
      <c r="A504" s="347">
        <f t="shared" ca="1" si="209"/>
        <v>0.1</v>
      </c>
      <c r="B504" s="304">
        <f t="shared" ca="1" si="210"/>
        <v>42.700000000000323</v>
      </c>
      <c r="D504" s="306">
        <f t="shared" ca="1" si="211"/>
        <v>-0.51579106564352128</v>
      </c>
      <c r="E504" s="307">
        <f t="shared" ca="1" si="212"/>
        <v>-1.0236315299127163</v>
      </c>
      <c r="F504" s="304">
        <f t="shared" ca="1" si="213"/>
        <v>1.1462381656659</v>
      </c>
      <c r="G504" s="306">
        <f t="shared" ca="1" si="214"/>
        <v>6.1693883787820196</v>
      </c>
      <c r="H504" s="307">
        <f t="shared" ca="1" si="215"/>
        <v>-106.07494819280767</v>
      </c>
      <c r="I504" s="304">
        <f t="shared" ca="1" si="216"/>
        <v>106.25420456186701</v>
      </c>
      <c r="J504" s="306">
        <f t="shared" ca="1" si="217"/>
        <v>758.05905118370697</v>
      </c>
      <c r="K504" s="307">
        <f t="shared" ca="1" si="218"/>
        <v>1640.2684125571884</v>
      </c>
      <c r="L504" s="304">
        <f t="shared" ca="1" si="203"/>
        <v>1806.9681763424671</v>
      </c>
      <c r="M504" s="306">
        <f t="shared" ca="1" si="219"/>
        <v>-1.512701119110573</v>
      </c>
      <c r="N504" s="304">
        <f t="shared" ca="1" si="220"/>
        <v>-86.671389789752268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1.7842999999999964</v>
      </c>
      <c r="T504" s="304">
        <f t="shared" ca="1" si="204"/>
        <v>17.503982999999966</v>
      </c>
      <c r="U504" s="311">
        <f t="shared" ca="1" si="205"/>
        <v>0</v>
      </c>
      <c r="V504" s="306">
        <f t="shared" ca="1" si="206"/>
        <v>1.0392972381787464</v>
      </c>
      <c r="W504" s="304">
        <f t="shared" ca="1" si="207"/>
        <v>15.750670532228593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 t="e">
        <f t="shared" ca="1" si="228"/>
        <v>#N/A</v>
      </c>
      <c r="AD504" s="323" t="e">
        <f t="shared" ca="1" si="229"/>
        <v>#N/A</v>
      </c>
      <c r="AE504" s="324" t="e">
        <f t="shared" ca="1" si="208"/>
        <v>#N/A</v>
      </c>
      <c r="AG504" s="306">
        <f t="shared" ca="1" si="230"/>
        <v>0.99164557163079792</v>
      </c>
      <c r="AH504" s="304">
        <f t="shared" ca="1" si="231"/>
        <v>-8.8014948341484374</v>
      </c>
    </row>
    <row r="505" spans="1:34" x14ac:dyDescent="0.2">
      <c r="A505" s="347">
        <f t="shared" ca="1" si="209"/>
        <v>0.1</v>
      </c>
      <c r="B505" s="304">
        <f t="shared" ca="1" si="210"/>
        <v>42.800000000000324</v>
      </c>
      <c r="D505" s="306">
        <f t="shared" ca="1" si="211"/>
        <v>-0.51253928450422359</v>
      </c>
      <c r="E505" s="307">
        <f t="shared" ca="1" si="212"/>
        <v>-0.99752545429833894</v>
      </c>
      <c r="F505" s="304">
        <f t="shared" ca="1" si="213"/>
        <v>1.121496121318843</v>
      </c>
      <c r="G505" s="306">
        <f t="shared" ca="1" si="214"/>
        <v>6.1181344503315973</v>
      </c>
      <c r="H505" s="307">
        <f t="shared" ca="1" si="215"/>
        <v>-106.1747007382375</v>
      </c>
      <c r="I505" s="304">
        <f t="shared" ca="1" si="216"/>
        <v>106.35082813973114</v>
      </c>
      <c r="J505" s="306">
        <f t="shared" ca="1" si="217"/>
        <v>758.67342732516261</v>
      </c>
      <c r="K505" s="307">
        <f t="shared" ca="1" si="218"/>
        <v>1629.6559301106361</v>
      </c>
      <c r="L505" s="304">
        <f t="shared" ca="1" si="203"/>
        <v>1797.5994603565252</v>
      </c>
      <c r="M505" s="306">
        <f t="shared" ca="1" si="219"/>
        <v>-1.5132366988488837</v>
      </c>
      <c r="N505" s="304">
        <f t="shared" ca="1" si="220"/>
        <v>-86.702076248350195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1.7842999999999964</v>
      </c>
      <c r="T505" s="304">
        <f t="shared" ca="1" si="204"/>
        <v>17.503982999999966</v>
      </c>
      <c r="U505" s="311">
        <f t="shared" ca="1" si="205"/>
        <v>0</v>
      </c>
      <c r="V505" s="306">
        <f t="shared" ca="1" si="206"/>
        <v>1.0404082042880358</v>
      </c>
      <c r="W505" s="304">
        <f t="shared" ca="1" si="207"/>
        <v>15.79619714809759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 t="e">
        <f t="shared" ca="1" si="208"/>
        <v>#N/A</v>
      </c>
      <c r="AG505" s="306">
        <f t="shared" ca="1" si="230"/>
        <v>0.96608324727935724</v>
      </c>
      <c r="AH505" s="304">
        <f t="shared" ca="1" si="231"/>
        <v>-8.8273667725318745</v>
      </c>
    </row>
    <row r="506" spans="1:34" x14ac:dyDescent="0.2">
      <c r="A506" s="347">
        <f t="shared" ca="1" si="209"/>
        <v>0.1</v>
      </c>
      <c r="B506" s="304">
        <f t="shared" ca="1" si="210"/>
        <v>42.900000000000325</v>
      </c>
      <c r="D506" s="306">
        <f t="shared" ca="1" si="211"/>
        <v>-0.5092872579849107</v>
      </c>
      <c r="E506" s="307">
        <f t="shared" ca="1" si="212"/>
        <v>-0.97177935523878389</v>
      </c>
      <c r="F506" s="304">
        <f t="shared" ca="1" si="213"/>
        <v>1.0971456723763238</v>
      </c>
      <c r="G506" s="306">
        <f t="shared" ca="1" si="214"/>
        <v>6.0672057245331059</v>
      </c>
      <c r="H506" s="307">
        <f t="shared" ca="1" si="215"/>
        <v>-106.27187867376138</v>
      </c>
      <c r="I506" s="304">
        <f t="shared" ca="1" si="216"/>
        <v>106.44493027925034</v>
      </c>
      <c r="J506" s="306">
        <f t="shared" ca="1" si="217"/>
        <v>759.28269433390585</v>
      </c>
      <c r="K506" s="307">
        <f t="shared" ca="1" si="218"/>
        <v>1619.0336011400361</v>
      </c>
      <c r="L506" s="304">
        <f t="shared" ca="1" si="203"/>
        <v>1788.2337687045924</v>
      </c>
      <c r="M506" s="306">
        <f t="shared" ca="1" si="219"/>
        <v>-1.5137668774397552</v>
      </c>
      <c r="N506" s="304">
        <f t="shared" ca="1" si="220"/>
        <v>-86.732453243995323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1.7842999999999964</v>
      </c>
      <c r="T506" s="304">
        <f t="shared" ca="1" si="204"/>
        <v>17.503982999999966</v>
      </c>
      <c r="U506" s="311">
        <f t="shared" ca="1" si="205"/>
        <v>0</v>
      </c>
      <c r="V506" s="306">
        <f t="shared" ca="1" si="206"/>
        <v>1.0415212934132303</v>
      </c>
      <c r="W506" s="304">
        <f t="shared" ca="1" si="207"/>
        <v>15.841092944173727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 t="e">
        <f t="shared" ca="1" si="208"/>
        <v>#N/A</v>
      </c>
      <c r="AG506" s="306">
        <f t="shared" ca="1" si="230"/>
        <v>0.94087179252063535</v>
      </c>
      <c r="AH506" s="304">
        <f t="shared" ca="1" si="231"/>
        <v>-8.8528818853878963</v>
      </c>
    </row>
    <row r="507" spans="1:34" x14ac:dyDescent="0.2">
      <c r="A507" s="347">
        <f t="shared" ca="1" si="209"/>
        <v>0.1</v>
      </c>
      <c r="B507" s="304">
        <f t="shared" ca="1" si="210"/>
        <v>43.000000000000327</v>
      </c>
      <c r="D507" s="306">
        <f t="shared" ca="1" si="211"/>
        <v>-0.50603552425409337</v>
      </c>
      <c r="E507" s="307">
        <f t="shared" ca="1" si="212"/>
        <v>-0.94638991658181482</v>
      </c>
      <c r="F507" s="304">
        <f t="shared" ca="1" si="213"/>
        <v>1.0731848983352541</v>
      </c>
      <c r="G507" s="306">
        <f t="shared" ca="1" si="214"/>
        <v>6.0166021721076968</v>
      </c>
      <c r="H507" s="307">
        <f t="shared" ca="1" si="215"/>
        <v>-106.36651766541956</v>
      </c>
      <c r="I507" s="304">
        <f t="shared" ca="1" si="216"/>
        <v>106.53654575761983</v>
      </c>
      <c r="J507" s="306">
        <f t="shared" ca="1" si="217"/>
        <v>759.88688472873787</v>
      </c>
      <c r="K507" s="307">
        <f t="shared" ca="1" si="218"/>
        <v>1608.4016813230771</v>
      </c>
      <c r="L507" s="304">
        <f t="shared" ca="1" si="203"/>
        <v>1778.8715653654278</v>
      </c>
      <c r="M507" s="306">
        <f t="shared" ca="1" si="219"/>
        <v>-1.5142917261750584</v>
      </c>
      <c r="N507" s="304">
        <f t="shared" ca="1" si="220"/>
        <v>-86.762524861410981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1.7842999999999964</v>
      </c>
      <c r="T507" s="304">
        <f t="shared" ca="1" si="204"/>
        <v>17.503982999999966</v>
      </c>
      <c r="U507" s="311">
        <f t="shared" ca="1" si="205"/>
        <v>0</v>
      </c>
      <c r="V507" s="306">
        <f t="shared" ca="1" si="206"/>
        <v>1.0426364833754673</v>
      </c>
      <c r="W507" s="304">
        <f t="shared" ca="1" si="207"/>
        <v>15.885363809825074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>
        <f t="shared" ca="1" si="228"/>
        <v>43.000000000000327</v>
      </c>
      <c r="AD507" s="323">
        <f t="shared" ca="1" si="229"/>
        <v>759.88688472873787</v>
      </c>
      <c r="AE507" s="324" t="e">
        <f t="shared" ca="1" si="208"/>
        <v>#N/A</v>
      </c>
      <c r="AG507" s="306">
        <f t="shared" ca="1" si="230"/>
        <v>0.91600804761379173</v>
      </c>
      <c r="AH507" s="304">
        <f t="shared" ca="1" si="231"/>
        <v>-8.8780434591569577</v>
      </c>
    </row>
    <row r="508" spans="1:34" x14ac:dyDescent="0.2">
      <c r="A508" s="347">
        <f t="shared" ca="1" si="209"/>
        <v>0.1</v>
      </c>
      <c r="B508" s="304">
        <f t="shared" ca="1" si="210"/>
        <v>43.100000000000328</v>
      </c>
      <c r="D508" s="306">
        <f t="shared" ca="1" si="211"/>
        <v>-0.50278460892104559</v>
      </c>
      <c r="E508" s="307">
        <f t="shared" ca="1" si="212"/>
        <v>-0.92135380786413812</v>
      </c>
      <c r="F508" s="304">
        <f t="shared" ca="1" si="213"/>
        <v>1.0496119293499078</v>
      </c>
      <c r="G508" s="306">
        <f t="shared" ca="1" si="214"/>
        <v>5.9663237112155922</v>
      </c>
      <c r="H508" s="307">
        <f t="shared" ca="1" si="215"/>
        <v>-106.45865304620598</v>
      </c>
      <c r="I508" s="304">
        <f t="shared" ca="1" si="216"/>
        <v>106.62570903416997</v>
      </c>
      <c r="J508" s="306">
        <f t="shared" ca="1" si="217"/>
        <v>760.48603102290406</v>
      </c>
      <c r="K508" s="307">
        <f t="shared" ca="1" si="218"/>
        <v>1597.7604227874958</v>
      </c>
      <c r="L508" s="304">
        <f t="shared" ca="1" si="203"/>
        <v>1769.5133150126469</v>
      </c>
      <c r="M508" s="306">
        <f t="shared" ca="1" si="219"/>
        <v>-1.514811314973102</v>
      </c>
      <c r="N508" s="304">
        <f t="shared" ca="1" si="220"/>
        <v>-86.792295106621154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1.7842999999999964</v>
      </c>
      <c r="T508" s="304">
        <f t="shared" ca="1" si="204"/>
        <v>17.503982999999966</v>
      </c>
      <c r="U508" s="311">
        <f t="shared" ca="1" si="205"/>
        <v>0</v>
      </c>
      <c r="V508" s="306">
        <f t="shared" ca="1" si="206"/>
        <v>1.043753752277981</v>
      </c>
      <c r="W508" s="304">
        <f t="shared" ca="1" si="207"/>
        <v>15.929015656726484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 t="e">
        <f t="shared" ca="1" si="208"/>
        <v>#N/A</v>
      </c>
      <c r="AG508" s="306">
        <f t="shared" ca="1" si="230"/>
        <v>0.89148883544830859</v>
      </c>
      <c r="AH508" s="304">
        <f t="shared" ca="1" si="231"/>
        <v>-8.9028547944993033</v>
      </c>
    </row>
    <row r="509" spans="1:34" x14ac:dyDescent="0.2">
      <c r="A509" s="347">
        <f t="shared" ca="1" si="209"/>
        <v>0.1</v>
      </c>
      <c r="B509" s="304">
        <f t="shared" ca="1" si="210"/>
        <v>43.20000000000033</v>
      </c>
      <c r="D509" s="306">
        <f t="shared" ca="1" si="211"/>
        <v>-0.49953502518598292</v>
      </c>
      <c r="E509" s="307">
        <f t="shared" ca="1" si="212"/>
        <v>-0.89666768604359248</v>
      </c>
      <c r="F509" s="304">
        <f t="shared" ca="1" si="213"/>
        <v>1.0264249512664485</v>
      </c>
      <c r="G509" s="306">
        <f t="shared" ca="1" si="214"/>
        <v>5.9163702086969936</v>
      </c>
      <c r="H509" s="307">
        <f t="shared" ca="1" si="215"/>
        <v>-106.54831981481034</v>
      </c>
      <c r="I509" s="304">
        <f t="shared" ca="1" si="216"/>
        <v>106.71245424881513</v>
      </c>
      <c r="J509" s="306">
        <f t="shared" ca="1" si="217"/>
        <v>761.08016571889971</v>
      </c>
      <c r="K509" s="307">
        <f t="shared" ca="1" si="218"/>
        <v>1587.110074144445</v>
      </c>
      <c r="L509" s="304">
        <f t="shared" ca="1" si="203"/>
        <v>1760.1594831439263</v>
      </c>
      <c r="M509" s="306">
        <f t="shared" ca="1" si="219"/>
        <v>-1.5153257124137103</v>
      </c>
      <c r="N509" s="304">
        <f t="shared" ca="1" si="220"/>
        <v>-86.821767908960339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1.7842999999999964</v>
      </c>
      <c r="T509" s="304">
        <f t="shared" ca="1" si="204"/>
        <v>17.503982999999966</v>
      </c>
      <c r="U509" s="311">
        <f t="shared" ca="1" si="205"/>
        <v>0</v>
      </c>
      <c r="V509" s="306">
        <f t="shared" ca="1" si="206"/>
        <v>1.0448730785038627</v>
      </c>
      <c r="W509" s="304">
        <f t="shared" ca="1" si="207"/>
        <v>15.972054415883512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 t="e">
        <f t="shared" ca="1" si="208"/>
        <v>#N/A</v>
      </c>
      <c r="AG509" s="306">
        <f t="shared" ca="1" si="230"/>
        <v>0.86731096335569013</v>
      </c>
      <c r="AH509" s="304">
        <f t="shared" ca="1" si="231"/>
        <v>-8.9273192045768734</v>
      </c>
    </row>
    <row r="510" spans="1:34" x14ac:dyDescent="0.2">
      <c r="A510" s="347">
        <f t="shared" ca="1" si="209"/>
        <v>0.1</v>
      </c>
      <c r="B510" s="304">
        <f t="shared" ca="1" si="210"/>
        <v>43.300000000000331</v>
      </c>
      <c r="D510" s="306">
        <f t="shared" ca="1" si="211"/>
        <v>-0.49628727399191708</v>
      </c>
      <c r="E510" s="307">
        <f t="shared" ca="1" si="212"/>
        <v>-0.87232819718073173</v>
      </c>
      <c r="F510" s="304">
        <f t="shared" ca="1" si="213"/>
        <v>1.0036222107560762</v>
      </c>
      <c r="G510" s="306">
        <f t="shared" ca="1" si="214"/>
        <v>5.8667414812978018</v>
      </c>
      <c r="H510" s="307">
        <f t="shared" ca="1" si="215"/>
        <v>-106.63555263452841</v>
      </c>
      <c r="I510" s="304">
        <f t="shared" ca="1" si="216"/>
        <v>106.79681522067808</v>
      </c>
      <c r="J510" s="306">
        <f t="shared" ca="1" si="217"/>
        <v>761.66932130339944</v>
      </c>
      <c r="K510" s="307">
        <f t="shared" ca="1" si="218"/>
        <v>1576.450880521978</v>
      </c>
      <c r="L510" s="304">
        <f t="shared" ca="1" si="203"/>
        <v>1750.8105362126712</v>
      </c>
      <c r="M510" s="306">
        <f t="shared" ca="1" si="219"/>
        <v>-1.5158349857722395</v>
      </c>
      <c r="N510" s="304">
        <f t="shared" ca="1" si="220"/>
        <v>-86.850947123022522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1.7842999999999964</v>
      </c>
      <c r="T510" s="304">
        <f t="shared" ca="1" si="204"/>
        <v>17.503982999999966</v>
      </c>
      <c r="U510" s="311">
        <f t="shared" ca="1" si="205"/>
        <v>0</v>
      </c>
      <c r="V510" s="306">
        <f t="shared" ca="1" si="206"/>
        <v>1.04599444071381</v>
      </c>
      <c r="W510" s="304">
        <f t="shared" ca="1" si="207"/>
        <v>16.01448603474455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 t="e">
        <f t="shared" ca="1" si="208"/>
        <v>#N/A</v>
      </c>
      <c r="AG510" s="306">
        <f t="shared" ca="1" si="230"/>
        <v>0.84347122486771831</v>
      </c>
      <c r="AH510" s="304">
        <f t="shared" ca="1" si="231"/>
        <v>-8.9514400133853869</v>
      </c>
    </row>
    <row r="511" spans="1:34" x14ac:dyDescent="0.2">
      <c r="A511" s="347">
        <f t="shared" ca="1" si="209"/>
        <v>0.1</v>
      </c>
      <c r="B511" s="304">
        <f t="shared" ca="1" si="210"/>
        <v>43.400000000000333</v>
      </c>
      <c r="D511" s="306">
        <f t="shared" ca="1" si="211"/>
        <v>-0.49304184417804831</v>
      </c>
      <c r="E511" s="307">
        <f t="shared" ca="1" si="212"/>
        <v>-0.84833197807060223</v>
      </c>
      <c r="F511" s="304">
        <f t="shared" ca="1" si="213"/>
        <v>0.9812020205480988</v>
      </c>
      <c r="G511" s="306">
        <f t="shared" ca="1" si="214"/>
        <v>5.817437296879997</v>
      </c>
      <c r="H511" s="307">
        <f t="shared" ca="1" si="215"/>
        <v>-106.72038583233547</v>
      </c>
      <c r="I511" s="304">
        <f t="shared" ca="1" si="216"/>
        <v>106.87882544688485</v>
      </c>
      <c r="J511" s="306">
        <f t="shared" ca="1" si="217"/>
        <v>762.25353024230833</v>
      </c>
      <c r="K511" s="307">
        <f t="shared" ca="1" si="218"/>
        <v>1565.7830835986347</v>
      </c>
      <c r="L511" s="304">
        <f t="shared" ca="1" si="203"/>
        <v>1741.4669417621774</v>
      </c>
      <c r="M511" s="306">
        <f t="shared" ca="1" si="219"/>
        <v>-1.5163392010525711</v>
      </c>
      <c r="N511" s="304">
        <f t="shared" ca="1" si="220"/>
        <v>-86.879836530551529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1.7842999999999964</v>
      </c>
      <c r="T511" s="304">
        <f t="shared" ca="1" si="204"/>
        <v>17.503982999999966</v>
      </c>
      <c r="U511" s="311">
        <f t="shared" ca="1" si="205"/>
        <v>0</v>
      </c>
      <c r="V511" s="306">
        <f t="shared" ca="1" si="206"/>
        <v>1.0471178178438527</v>
      </c>
      <c r="W511" s="304">
        <f t="shared" ca="1" si="207"/>
        <v>16.056316474399839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 t="e">
        <f t="shared" ca="1" si="208"/>
        <v>#N/A</v>
      </c>
      <c r="AG511" s="306">
        <f t="shared" ca="1" si="230"/>
        <v>0.81996640142215504</v>
      </c>
      <c r="AH511" s="304">
        <f t="shared" ca="1" si="231"/>
        <v>-8.9752205541358414</v>
      </c>
    </row>
    <row r="512" spans="1:34" x14ac:dyDescent="0.2">
      <c r="A512" s="347">
        <f t="shared" ca="1" si="209"/>
        <v>0.1</v>
      </c>
      <c r="B512" s="304">
        <f t="shared" ca="1" si="210"/>
        <v>43.500000000000334</v>
      </c>
      <c r="D512" s="306">
        <f t="shared" ca="1" si="211"/>
        <v>-0.48979921263452186</v>
      </c>
      <c r="E512" s="307">
        <f t="shared" ca="1" si="212"/>
        <v>-0.82467565782538088</v>
      </c>
      <c r="F512" s="304">
        <f t="shared" ca="1" si="213"/>
        <v>0.95916276476264561</v>
      </c>
      <c r="G512" s="306">
        <f t="shared" ca="1" si="214"/>
        <v>5.7684573756165447</v>
      </c>
      <c r="H512" s="307">
        <f t="shared" ca="1" si="215"/>
        <v>-106.802853398118</v>
      </c>
      <c r="I512" s="304">
        <f t="shared" ca="1" si="216"/>
        <v>106.95851810152472</v>
      </c>
      <c r="J512" s="306">
        <f t="shared" ca="1" si="217"/>
        <v>762.83282497593314</v>
      </c>
      <c r="K512" s="307">
        <f t="shared" ca="1" si="218"/>
        <v>1555.106921637112</v>
      </c>
      <c r="L512" s="304">
        <f t="shared" ca="1" si="203"/>
        <v>1732.1291685623266</v>
      </c>
      <c r="M512" s="306">
        <f t="shared" ca="1" si="219"/>
        <v>-1.5168384230191185</v>
      </c>
      <c r="N512" s="304">
        <f t="shared" ca="1" si="220"/>
        <v>-86.908439842274916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1.7842999999999964</v>
      </c>
      <c r="T512" s="304">
        <f t="shared" ca="1" si="204"/>
        <v>17.503982999999966</v>
      </c>
      <c r="U512" s="311">
        <f t="shared" ca="1" si="205"/>
        <v>0</v>
      </c>
      <c r="V512" s="306">
        <f t="shared" ca="1" si="206"/>
        <v>1.0482431891030699</v>
      </c>
      <c r="W512" s="304">
        <f t="shared" ca="1" si="207"/>
        <v>16.09755170686612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 t="e">
        <f t="shared" ca="1" si="208"/>
        <v>#N/A</v>
      </c>
      <c r="AG512" s="306">
        <f t="shared" ca="1" si="230"/>
        <v>0.79679326401672235</v>
      </c>
      <c r="AH512" s="304">
        <f t="shared" ca="1" si="231"/>
        <v>-8.9986641676847334</v>
      </c>
    </row>
    <row r="513" spans="1:34" x14ac:dyDescent="0.2">
      <c r="A513" s="347">
        <f t="shared" ca="1" si="209"/>
        <v>0.1</v>
      </c>
      <c r="B513" s="304">
        <f t="shared" ca="1" si="210"/>
        <v>43.600000000000335</v>
      </c>
      <c r="D513" s="306">
        <f t="shared" ca="1" si="211"/>
        <v>-0.48655984445837513</v>
      </c>
      <c r="E513" s="307">
        <f t="shared" ca="1" si="212"/>
        <v>-0.80135585940865361</v>
      </c>
      <c r="F513" s="304">
        <f t="shared" ca="1" si="213"/>
        <v>0.9375029043410692</v>
      </c>
      <c r="G513" s="306">
        <f t="shared" ca="1" si="214"/>
        <v>5.7198013911707069</v>
      </c>
      <c r="H513" s="307">
        <f t="shared" ca="1" si="215"/>
        <v>-106.88298898405887</v>
      </c>
      <c r="I513" s="304">
        <f t="shared" ca="1" si="216"/>
        <v>107.03592603477063</v>
      </c>
      <c r="J513" s="306">
        <f t="shared" ca="1" si="217"/>
        <v>763.40723791427251</v>
      </c>
      <c r="K513" s="307">
        <f t="shared" ca="1" si="218"/>
        <v>1544.4226295180031</v>
      </c>
      <c r="L513" s="304">
        <f t="shared" ca="1" si="203"/>
        <v>1722.7976867488537</v>
      </c>
      <c r="M513" s="306">
        <f t="shared" ca="1" si="219"/>
        <v>-1.5173327152278793</v>
      </c>
      <c r="N513" s="304">
        <f t="shared" ca="1" si="220"/>
        <v>-86.936760699683106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1.7842999999999964</v>
      </c>
      <c r="T513" s="304">
        <f t="shared" ca="1" si="204"/>
        <v>17.503982999999966</v>
      </c>
      <c r="U513" s="311">
        <f t="shared" ca="1" si="205"/>
        <v>0</v>
      </c>
      <c r="V513" s="306">
        <f t="shared" ca="1" si="206"/>
        <v>1.0493705339712902</v>
      </c>
      <c r="W513" s="304">
        <f t="shared" ca="1" si="207"/>
        <v>16.138197712455671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 t="e">
        <f t="shared" ca="1" si="208"/>
        <v>#N/A</v>
      </c>
      <c r="AG513" s="306">
        <f t="shared" ca="1" si="230"/>
        <v>0.77394857481220569</v>
      </c>
      <c r="AH513" s="304">
        <f t="shared" ca="1" si="231"/>
        <v>-9.0217742010122475</v>
      </c>
    </row>
    <row r="514" spans="1:34" x14ac:dyDescent="0.2">
      <c r="A514" s="347">
        <f t="shared" ca="1" si="209"/>
        <v>0.1</v>
      </c>
      <c r="B514" s="304">
        <f t="shared" ca="1" si="210"/>
        <v>43.700000000000337</v>
      </c>
      <c r="D514" s="306">
        <f t="shared" ca="1" si="211"/>
        <v>-0.48332419311053665</v>
      </c>
      <c r="E514" s="307">
        <f t="shared" ca="1" si="212"/>
        <v>-0.77836920112200048</v>
      </c>
      <c r="F514" s="304">
        <f t="shared" ca="1" si="213"/>
        <v>0.91622098256984519</v>
      </c>
      <c r="G514" s="306">
        <f t="shared" ca="1" si="214"/>
        <v>5.6714689718596532</v>
      </c>
      <c r="H514" s="307">
        <f t="shared" ca="1" si="215"/>
        <v>-106.96082590417107</v>
      </c>
      <c r="I514" s="304">
        <f t="shared" ca="1" si="216"/>
        <v>107.11108177215446</v>
      </c>
      <c r="J514" s="306">
        <f t="shared" ca="1" si="217"/>
        <v>763.97680143242405</v>
      </c>
      <c r="K514" s="307">
        <f t="shared" ca="1" si="218"/>
        <v>1533.7304387735917</v>
      </c>
      <c r="L514" s="304">
        <f t="shared" ca="1" si="203"/>
        <v>1713.4729679652235</v>
      </c>
      <c r="M514" s="306">
        <f t="shared" ca="1" si="219"/>
        <v>-1.517822140056565</v>
      </c>
      <c r="N514" s="304">
        <f t="shared" ca="1" si="220"/>
        <v>-86.96480267675571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1.7842999999999964</v>
      </c>
      <c r="T514" s="304">
        <f t="shared" ca="1" si="204"/>
        <v>17.503982999999966</v>
      </c>
      <c r="U514" s="311">
        <f t="shared" ca="1" si="205"/>
        <v>0</v>
      </c>
      <c r="V514" s="306">
        <f t="shared" ca="1" si="206"/>
        <v>1.0504998321967798</v>
      </c>
      <c r="W514" s="304">
        <f t="shared" ca="1" si="207"/>
        <v>16.178260477228203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 t="e">
        <f t="shared" ca="1" si="228"/>
        <v>#N/A</v>
      </c>
      <c r="AD514" s="323" t="e">
        <f t="shared" ca="1" si="229"/>
        <v>#N/A</v>
      </c>
      <c r="AE514" s="324" t="e">
        <f t="shared" ca="1" si="208"/>
        <v>#N/A</v>
      </c>
      <c r="AG514" s="306">
        <f t="shared" ca="1" si="230"/>
        <v>0.75142908868547309</v>
      </c>
      <c r="AH514" s="304">
        <f t="shared" ca="1" si="231"/>
        <v>-9.0445540057477469</v>
      </c>
    </row>
    <row r="515" spans="1:34" x14ac:dyDescent="0.2">
      <c r="A515" s="347">
        <f t="shared" ca="1" si="209"/>
        <v>0.1</v>
      </c>
      <c r="B515" s="304">
        <f t="shared" ca="1" si="210"/>
        <v>43.800000000000338</v>
      </c>
      <c r="D515" s="306">
        <f t="shared" ca="1" si="211"/>
        <v>-0.48009270057372572</v>
      </c>
      <c r="E515" s="307">
        <f t="shared" ca="1" si="212"/>
        <v>-0.75571229804474704</v>
      </c>
      <c r="F515" s="304">
        <f t="shared" ca="1" si="213"/>
        <v>0.89531563069134767</v>
      </c>
      <c r="G515" s="306">
        <f t="shared" ca="1" si="214"/>
        <v>5.6234597018022807</v>
      </c>
      <c r="H515" s="307">
        <f t="shared" ca="1" si="215"/>
        <v>-107.03639713397556</v>
      </c>
      <c r="I515" s="304">
        <f t="shared" ca="1" si="216"/>
        <v>107.18401751399284</v>
      </c>
      <c r="J515" s="306">
        <f t="shared" ca="1" si="217"/>
        <v>764.54154786610718</v>
      </c>
      <c r="K515" s="307">
        <f t="shared" ca="1" si="218"/>
        <v>1523.0305776216844</v>
      </c>
      <c r="L515" s="304">
        <f t="shared" ca="1" si="203"/>
        <v>1704.1554855071602</v>
      </c>
      <c r="M515" s="306">
        <f t="shared" ca="1" si="219"/>
        <v>-1.518306758733841</v>
      </c>
      <c r="N515" s="304">
        <f t="shared" ca="1" si="220"/>
        <v>-86.992569281636833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1.7842999999999964</v>
      </c>
      <c r="T515" s="304">
        <f t="shared" ca="1" si="204"/>
        <v>17.503982999999966</v>
      </c>
      <c r="U515" s="311">
        <f t="shared" ca="1" si="205"/>
        <v>0</v>
      </c>
      <c r="V515" s="306">
        <f t="shared" ca="1" si="206"/>
        <v>1.0516310637939235</v>
      </c>
      <c r="W515" s="304">
        <f t="shared" ca="1" si="207"/>
        <v>16.217745990524538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 t="e">
        <f t="shared" ca="1" si="208"/>
        <v>#N/A</v>
      </c>
      <c r="AG515" s="306">
        <f t="shared" ca="1" si="230"/>
        <v>0.72923155473340628</v>
      </c>
      <c r="AH515" s="304">
        <f t="shared" ca="1" si="231"/>
        <v>-9.067006936741711</v>
      </c>
    </row>
    <row r="516" spans="1:34" x14ac:dyDescent="0.2">
      <c r="A516" s="347">
        <f t="shared" ca="1" si="209"/>
        <v>0.1</v>
      </c>
      <c r="B516" s="304">
        <f t="shared" ca="1" si="210"/>
        <v>43.90000000000034</v>
      </c>
      <c r="D516" s="306">
        <f t="shared" ca="1" si="211"/>
        <v>-0.47686579751110963</v>
      </c>
      <c r="E516" s="307">
        <f t="shared" ca="1" si="212"/>
        <v>-0.73338176342751282</v>
      </c>
      <c r="F516" s="304">
        <f t="shared" ca="1" si="213"/>
        <v>0.87478557359158304</v>
      </c>
      <c r="G516" s="306">
        <f t="shared" ca="1" si="214"/>
        <v>5.5757731220511699</v>
      </c>
      <c r="H516" s="307">
        <f t="shared" ca="1" si="215"/>
        <v>-107.1097353103183</v>
      </c>
      <c r="I516" s="304">
        <f t="shared" ca="1" si="216"/>
        <v>107.25476513495815</v>
      </c>
      <c r="J516" s="306">
        <f t="shared" ca="1" si="217"/>
        <v>765.10150950729985</v>
      </c>
      <c r="K516" s="307">
        <f t="shared" ca="1" si="218"/>
        <v>1512.3232709994697</v>
      </c>
      <c r="L516" s="304">
        <f t="shared" ref="L516:L579" ca="1" si="232">SQRT(pos_x^2+pos_z^2)</f>
        <v>1694.84571446987</v>
      </c>
      <c r="M516" s="306">
        <f t="shared" ca="1" si="219"/>
        <v>-1.5187866313677063</v>
      </c>
      <c r="N516" s="304">
        <f t="shared" ca="1" si="220"/>
        <v>-87.020063958261147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1.7842999999999964</v>
      </c>
      <c r="T516" s="304">
        <f t="shared" ref="T516:T579" ca="1" si="233">m*g</f>
        <v>17.503982999999966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1.0527642090408882</v>
      </c>
      <c r="W516" s="304">
        <f t="shared" ref="W516:W579" ca="1" si="236">1/2*Rho*Sref*Cx*vit_xz^2</f>
        <v>16.256660242580367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 t="e">
        <f t="shared" ref="AE516:AE579" ca="1" si="237">IF(t&lt;T_para, pos_z, NA())</f>
        <v>#N/A</v>
      </c>
      <c r="AG516" s="306">
        <f t="shared" ca="1" si="230"/>
        <v>0.70735271772839603</v>
      </c>
      <c r="AH516" s="304">
        <f t="shared" ca="1" si="231"/>
        <v>-9.0891363506834999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44.000000000000341</v>
      </c>
      <c r="D517" s="306">
        <f t="shared" ref="D517:D580" ca="1" si="240">IF(AND(L516&lt;L_rampe,Poussee&lt;Poids*SIN(M516)),0,(-W516+Poussee)/m*COS(M516)-U516/m*SIN(M516))</f>
        <v>-0.47364390342556101</v>
      </c>
      <c r="E517" s="307">
        <f t="shared" ref="E517:E580" ca="1" si="241">IF(AND(L516&lt;L_rampe,Poussee&lt;Poids*SIN(M516)),0,(-W516+Poussee)/m*SIN(M516)+U516/m*COS(M516)-Poids/m)</f>
        <v>-0.71137421004049806</v>
      </c>
      <c r="F517" s="304">
        <f t="shared" ref="F517:F580" ca="1" si="242">SQRT(acc_x^2+acc_z^2)</f>
        <v>0.85462963555153226</v>
      </c>
      <c r="G517" s="306">
        <f t="shared" ref="G517:G580" ca="1" si="243">G516+acc_x*pas</f>
        <v>5.5284087317086135</v>
      </c>
      <c r="H517" s="307">
        <f t="shared" ref="H517:H580" ca="1" si="244">H516+acc_z*pas</f>
        <v>-107.18087273132235</v>
      </c>
      <c r="I517" s="304">
        <f t="shared" ref="I517:I580" ca="1" si="245">SQRT(vit_x^2+vit_z^2)</f>
        <v>107.32335618379045</v>
      </c>
      <c r="J517" s="306">
        <f t="shared" ref="J517:J580" ca="1" si="246">J516+0.5*(vit_x+G516)*pas*(K516&gt;=0)</f>
        <v>765.65671859998781</v>
      </c>
      <c r="K517" s="307">
        <f t="shared" ref="K517:K580" ca="1" si="247">K516+0.5*(vit_z+H516)*pas</f>
        <v>1501.6087405973876</v>
      </c>
      <c r="L517" s="304">
        <f t="shared" ca="1" si="232"/>
        <v>1685.5441318979974</v>
      </c>
      <c r="M517" s="306">
        <f t="shared" ref="M517:M580" ca="1" si="248">IF(AND(L516&gt;L_rampe,G517&gt;0),ATAN2(G517,H517),$M$4)</f>
        <v>-1.5192618169730401</v>
      </c>
      <c r="N517" s="304">
        <f t="shared" ref="N517:N580" ca="1" si="249">DEGREES(Beta)</f>
        <v>-87.04729008793214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1.7842999999999964</v>
      </c>
      <c r="T517" s="304">
        <f t="shared" ca="1" si="233"/>
        <v>17.503982999999966</v>
      </c>
      <c r="U517" s="311">
        <f t="shared" ca="1" si="234"/>
        <v>0</v>
      </c>
      <c r="V517" s="306">
        <f t="shared" ca="1" si="235"/>
        <v>1.0538992484772847</v>
      </c>
      <c r="W517" s="304">
        <f t="shared" ca="1" si="236"/>
        <v>16.295009222219029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>
        <f t="shared" ref="AC517:AC580" ca="1" si="257">IF(ABS(t-ROUND(t,0))&lt;0.001,t,NA())</f>
        <v>44.000000000000341</v>
      </c>
      <c r="AD517" s="323">
        <f t="shared" ref="AD517:AD580" ca="1" si="258">IF(ABS(t-ROUND(t,0))&lt;0.001,pos_x,NA())</f>
        <v>765.65671859998781</v>
      </c>
      <c r="AE517" s="324" t="e">
        <f t="shared" ca="1" si="237"/>
        <v>#N/A</v>
      </c>
      <c r="AG517" s="306">
        <f t="shared" ref="AG517:AG580" ca="1" si="259">IF(AND(L516&lt;L_rampe,Poussee&lt;Poids*SIN(M516)),0,(-W516+Poussee)/m-Poids*SIN(M516)/m)</f>
        <v>0.68578931952653122</v>
      </c>
      <c r="AH517" s="304">
        <f t="shared" ref="AH517:AH580" ca="1" si="260">IF(AND(L516&lt;L_rampe,Poussee&lt;Poids*SIN(M516)), g*SIN(M516), (-W516+Poussee)/m)</f>
        <v>-9.1109456047639963</v>
      </c>
    </row>
    <row r="518" spans="1:34" x14ac:dyDescent="0.2">
      <c r="A518" s="347">
        <f t="shared" ca="1" si="238"/>
        <v>0.1</v>
      </c>
      <c r="B518" s="304">
        <f t="shared" ca="1" si="239"/>
        <v>44.100000000000342</v>
      </c>
      <c r="D518" s="306">
        <f t="shared" ca="1" si="240"/>
        <v>-0.47042742681942151</v>
      </c>
      <c r="E518" s="307">
        <f t="shared" ca="1" si="241"/>
        <v>-0.68968625147713247</v>
      </c>
      <c r="F518" s="304">
        <f t="shared" ca="1" si="242"/>
        <v>0.83484674604415909</v>
      </c>
      <c r="G518" s="306">
        <f t="shared" ca="1" si="243"/>
        <v>5.4813659890266715</v>
      </c>
      <c r="H518" s="307">
        <f t="shared" ca="1" si="244"/>
        <v>-107.24984135647007</v>
      </c>
      <c r="I518" s="304">
        <f t="shared" ca="1" si="245"/>
        <v>107.38982188314522</v>
      </c>
      <c r="J518" s="306">
        <f t="shared" ca="1" si="246"/>
        <v>766.20720733602457</v>
      </c>
      <c r="K518" s="307">
        <f t="shared" ca="1" si="247"/>
        <v>1490.8872048929979</v>
      </c>
      <c r="L518" s="304">
        <f t="shared" ca="1" si="232"/>
        <v>1676.2512169383579</v>
      </c>
      <c r="M518" s="306">
        <f t="shared" ca="1" si="248"/>
        <v>-1.5197323734983452</v>
      </c>
      <c r="N518" s="304">
        <f t="shared" ca="1" si="249"/>
        <v>-87.074250990854466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1.7842999999999964</v>
      </c>
      <c r="T518" s="304">
        <f t="shared" ca="1" si="233"/>
        <v>17.503982999999966</v>
      </c>
      <c r="U518" s="311">
        <f t="shared" ca="1" si="234"/>
        <v>0</v>
      </c>
      <c r="V518" s="306">
        <f t="shared" ca="1" si="235"/>
        <v>1.0550361629018175</v>
      </c>
      <c r="W518" s="304">
        <f t="shared" ca="1" si="236"/>
        <v>16.332798914621684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 t="e">
        <f t="shared" ca="1" si="237"/>
        <v>#N/A</v>
      </c>
      <c r="AG518" s="306">
        <f t="shared" ca="1" si="259"/>
        <v>0.66453810042908046</v>
      </c>
      <c r="AH518" s="304">
        <f t="shared" ca="1" si="260"/>
        <v>-9.1324380553825382</v>
      </c>
    </row>
    <row r="519" spans="1:34" x14ac:dyDescent="0.2">
      <c r="A519" s="347">
        <f t="shared" ca="1" si="238"/>
        <v>0.1</v>
      </c>
      <c r="B519" s="304">
        <f t="shared" ca="1" si="239"/>
        <v>44.200000000000344</v>
      </c>
      <c r="D519" s="306">
        <f t="shared" ca="1" si="240"/>
        <v>-0.46721676535460949</v>
      </c>
      <c r="E519" s="307">
        <f t="shared" ca="1" si="241"/>
        <v>-0.66831450341397058</v>
      </c>
      <c r="F519" s="304">
        <f t="shared" ca="1" si="242"/>
        <v>0.81543594555420862</v>
      </c>
      <c r="G519" s="306">
        <f t="shared" ca="1" si="243"/>
        <v>5.4346443124912103</v>
      </c>
      <c r="H519" s="307">
        <f t="shared" ca="1" si="244"/>
        <v>-107.31667280681147</v>
      </c>
      <c r="I519" s="304">
        <f t="shared" ca="1" si="245"/>
        <v>107.45419312957274</v>
      </c>
      <c r="J519" s="306">
        <f t="shared" ca="1" si="246"/>
        <v>766.75300785110051</v>
      </c>
      <c r="K519" s="307">
        <f t="shared" ca="1" si="247"/>
        <v>1480.1588791848339</v>
      </c>
      <c r="L519" s="304">
        <f t="shared" ca="1" si="232"/>
        <v>1666.9674509954937</v>
      </c>
      <c r="M519" s="306">
        <f t="shared" ca="1" si="248"/>
        <v>-1.5201983578517144</v>
      </c>
      <c r="N519" s="304">
        <f t="shared" ca="1" si="249"/>
        <v>-87.100949927621656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1.7842999999999964</v>
      </c>
      <c r="T519" s="304">
        <f t="shared" ca="1" si="233"/>
        <v>17.503982999999966</v>
      </c>
      <c r="U519" s="311">
        <f t="shared" ca="1" si="234"/>
        <v>0</v>
      </c>
      <c r="V519" s="306">
        <f t="shared" ca="1" si="235"/>
        <v>1.0561749333699313</v>
      </c>
      <c r="W519" s="304">
        <f t="shared" ca="1" si="236"/>
        <v>16.370035299173644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 t="e">
        <f t="shared" ca="1" si="237"/>
        <v>#N/A</v>
      </c>
      <c r="AG519" s="306">
        <f t="shared" ca="1" si="259"/>
        <v>0.64359580049835685</v>
      </c>
      <c r="AH519" s="304">
        <f t="shared" ca="1" si="260"/>
        <v>-9.1536170568972235</v>
      </c>
    </row>
    <row r="520" spans="1:34" x14ac:dyDescent="0.2">
      <c r="A520" s="347">
        <f t="shared" ca="1" si="238"/>
        <v>0.1</v>
      </c>
      <c r="B520" s="304">
        <f t="shared" ca="1" si="239"/>
        <v>44.300000000000345</v>
      </c>
      <c r="D520" s="306">
        <f t="shared" ca="1" si="240"/>
        <v>-0.46401230601296595</v>
      </c>
      <c r="E520" s="307">
        <f t="shared" ca="1" si="241"/>
        <v>-0.64725558482755474</v>
      </c>
      <c r="F520" s="304">
        <f t="shared" ca="1" si="242"/>
        <v>0.79639639139183083</v>
      </c>
      <c r="G520" s="306">
        <f t="shared" ca="1" si="243"/>
        <v>5.3882430818899136</v>
      </c>
      <c r="H520" s="307">
        <f t="shared" ca="1" si="244"/>
        <v>-107.38139836529422</v>
      </c>
      <c r="I520" s="304">
        <f t="shared" ca="1" si="245"/>
        <v>107.51650049362445</v>
      </c>
      <c r="J520" s="306">
        <f t="shared" ca="1" si="246"/>
        <v>767.29415222081957</v>
      </c>
      <c r="K520" s="307">
        <f t="shared" ca="1" si="247"/>
        <v>1469.4239756262286</v>
      </c>
      <c r="L520" s="304">
        <f t="shared" ca="1" si="232"/>
        <v>1657.6933178900908</v>
      </c>
      <c r="M520" s="306">
        <f t="shared" ca="1" si="248"/>
        <v>-1.5206598259260444</v>
      </c>
      <c r="N520" s="304">
        <f t="shared" ca="1" si="249"/>
        <v>-87.12739010066079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1.7842999999999964</v>
      </c>
      <c r="T520" s="304">
        <f t="shared" ca="1" si="233"/>
        <v>17.503982999999966</v>
      </c>
      <c r="U520" s="311">
        <f t="shared" ca="1" si="234"/>
        <v>0</v>
      </c>
      <c r="V520" s="306">
        <f t="shared" ca="1" si="235"/>
        <v>1.057315541191447</v>
      </c>
      <c r="W520" s="304">
        <f t="shared" ca="1" si="236"/>
        <v>16.406724347385307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 t="e">
        <f t="shared" ca="1" si="237"/>
        <v>#N/A</v>
      </c>
      <c r="AG520" s="306">
        <f t="shared" ca="1" si="259"/>
        <v>0.62295916082867109</v>
      </c>
      <c r="AH520" s="304">
        <f t="shared" ca="1" si="260"/>
        <v>-9.1744859604179094</v>
      </c>
    </row>
    <row r="521" spans="1:34" x14ac:dyDescent="0.2">
      <c r="A521" s="347">
        <f t="shared" ca="1" si="238"/>
        <v>0.1</v>
      </c>
      <c r="B521" s="304">
        <f t="shared" ca="1" si="239"/>
        <v>44.400000000000347</v>
      </c>
      <c r="D521" s="306">
        <f t="shared" ca="1" si="240"/>
        <v>-0.46081442525671473</v>
      </c>
      <c r="E521" s="307">
        <f t="shared" ca="1" si="241"/>
        <v>-0.62650611916912347</v>
      </c>
      <c r="F521" s="304">
        <f t="shared" ca="1" si="242"/>
        <v>0.77772736346423621</v>
      </c>
      <c r="G521" s="306">
        <f t="shared" ca="1" si="243"/>
        <v>5.3421616393642424</v>
      </c>
      <c r="H521" s="307">
        <f t="shared" ca="1" si="244"/>
        <v>-107.44404897721112</v>
      </c>
      <c r="I521" s="304">
        <f t="shared" ca="1" si="245"/>
        <v>107.57677422008172</v>
      </c>
      <c r="J521" s="306">
        <f t="shared" ca="1" si="246"/>
        <v>767.83067245688233</v>
      </c>
      <c r="K521" s="307">
        <f t="shared" ca="1" si="247"/>
        <v>1458.6827032591034</v>
      </c>
      <c r="L521" s="304">
        <f t="shared" ca="1" si="232"/>
        <v>1648.429304020307</v>
      </c>
      <c r="M521" s="306">
        <f t="shared" ca="1" si="248"/>
        <v>-1.5211168326235229</v>
      </c>
      <c r="N521" s="304">
        <f t="shared" ca="1" si="249"/>
        <v>-87.153574655635524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1.7842999999999964</v>
      </c>
      <c r="T521" s="304">
        <f t="shared" ca="1" si="233"/>
        <v>17.503982999999966</v>
      </c>
      <c r="U521" s="311">
        <f t="shared" ca="1" si="234"/>
        <v>0</v>
      </c>
      <c r="V521" s="306">
        <f t="shared" ca="1" si="235"/>
        <v>1.058457967928198</v>
      </c>
      <c r="W521" s="304">
        <f t="shared" ca="1" si="236"/>
        <v>16.442872020886394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 t="e">
        <f t="shared" ca="1" si="237"/>
        <v>#N/A</v>
      </c>
      <c r="AG521" s="306">
        <f t="shared" ca="1" si="259"/>
        <v>0.60262492477339791</v>
      </c>
      <c r="AH521" s="304">
        <f t="shared" ca="1" si="260"/>
        <v>-9.1950481126410022</v>
      </c>
    </row>
    <row r="522" spans="1:34" x14ac:dyDescent="0.2">
      <c r="A522" s="347">
        <f t="shared" ca="1" si="238"/>
        <v>0.1</v>
      </c>
      <c r="B522" s="304">
        <f t="shared" ca="1" si="239"/>
        <v>44.500000000000348</v>
      </c>
      <c r="D522" s="306">
        <f t="shared" ca="1" si="240"/>
        <v>-0.45762348918893514</v>
      </c>
      <c r="E522" s="307">
        <f t="shared" ca="1" si="241"/>
        <v>-0.60606273549790046</v>
      </c>
      <c r="F522" s="304">
        <f t="shared" ca="1" si="242"/>
        <v>0.75942826996145829</v>
      </c>
      <c r="G522" s="306">
        <f t="shared" ca="1" si="243"/>
        <v>5.2963992904453487</v>
      </c>
      <c r="H522" s="307">
        <f t="shared" ca="1" si="244"/>
        <v>-107.50465525076092</v>
      </c>
      <c r="I522" s="304">
        <f t="shared" ca="1" si="245"/>
        <v>107.6350442283032</v>
      </c>
      <c r="J522" s="306">
        <f t="shared" ca="1" si="246"/>
        <v>768.36260050337285</v>
      </c>
      <c r="K522" s="307">
        <f t="shared" ca="1" si="247"/>
        <v>1447.9352680477048</v>
      </c>
      <c r="L522" s="304">
        <f t="shared" ca="1" si="232"/>
        <v>1639.1758985260503</v>
      </c>
      <c r="M522" s="306">
        <f t="shared" ca="1" si="248"/>
        <v>-1.5215694318794126</v>
      </c>
      <c r="N522" s="304">
        <f t="shared" ca="1" si="249"/>
        <v>-87.179506682808764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1.7842999999999964</v>
      </c>
      <c r="T522" s="304">
        <f t="shared" ca="1" si="233"/>
        <v>17.503982999999966</v>
      </c>
      <c r="U522" s="311">
        <f t="shared" ca="1" si="234"/>
        <v>0</v>
      </c>
      <c r="V522" s="306">
        <f t="shared" ca="1" si="235"/>
        <v>1.0596021953916601</v>
      </c>
      <c r="W522" s="304">
        <f t="shared" ca="1" si="236"/>
        <v>16.478484269492071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 t="e">
        <f t="shared" ca="1" si="237"/>
        <v>#N/A</v>
      </c>
      <c r="AG522" s="306">
        <f t="shared" ca="1" si="259"/>
        <v>0.58258983912888418</v>
      </c>
      <c r="AH522" s="304">
        <f t="shared" ca="1" si="260"/>
        <v>-9.2153068547253412</v>
      </c>
    </row>
    <row r="523" spans="1:34" x14ac:dyDescent="0.2">
      <c r="A523" s="347">
        <f t="shared" ca="1" si="238"/>
        <v>0.1</v>
      </c>
      <c r="B523" s="304">
        <f t="shared" ca="1" si="239"/>
        <v>44.60000000000035</v>
      </c>
      <c r="D523" s="306">
        <f t="shared" ca="1" si="240"/>
        <v>-0.45443985371392842</v>
      </c>
      <c r="E523" s="307">
        <f t="shared" ca="1" si="241"/>
        <v>-0.58592206957374593</v>
      </c>
      <c r="F523" s="304">
        <f t="shared" ca="1" si="242"/>
        <v>0.74149865290310424</v>
      </c>
      <c r="G523" s="306">
        <f t="shared" ca="1" si="243"/>
        <v>5.2509553050739557</v>
      </c>
      <c r="H523" s="307">
        <f t="shared" ca="1" si="244"/>
        <v>-107.56324745771829</v>
      </c>
      <c r="I523" s="304">
        <f t="shared" ca="1" si="245"/>
        <v>107.69134011268605</v>
      </c>
      <c r="J523" s="306">
        <f t="shared" ca="1" si="246"/>
        <v>768.88996823314881</v>
      </c>
      <c r="K523" s="307">
        <f t="shared" ca="1" si="247"/>
        <v>1437.1818729122808</v>
      </c>
      <c r="L523" s="304">
        <f t="shared" ca="1" si="232"/>
        <v>1629.9335934562559</v>
      </c>
      <c r="M523" s="306">
        <f t="shared" ca="1" si="248"/>
        <v>-1.5220176766851548</v>
      </c>
      <c r="N523" s="304">
        <f t="shared" ca="1" si="249"/>
        <v>-87.205189218366442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1.7842999999999964</v>
      </c>
      <c r="T523" s="304">
        <f t="shared" ca="1" si="233"/>
        <v>17.503982999999966</v>
      </c>
      <c r="U523" s="311">
        <f t="shared" ca="1" si="234"/>
        <v>0</v>
      </c>
      <c r="V523" s="306">
        <f t="shared" ca="1" si="235"/>
        <v>1.0607482056405793</v>
      </c>
      <c r="W523" s="304">
        <f t="shared" ca="1" si="236"/>
        <v>16.513567029339441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 t="e">
        <f t="shared" ca="1" si="237"/>
        <v>#N/A</v>
      </c>
      <c r="AG523" s="306">
        <f t="shared" ca="1" si="259"/>
        <v>0.56285065527614719</v>
      </c>
      <c r="AH523" s="304">
        <f t="shared" ca="1" si="260"/>
        <v>-9.2352655212083761</v>
      </c>
    </row>
    <row r="524" spans="1:34" x14ac:dyDescent="0.2">
      <c r="A524" s="347">
        <f t="shared" ca="1" si="238"/>
        <v>0.1</v>
      </c>
      <c r="B524" s="304">
        <f t="shared" ca="1" si="239"/>
        <v>44.700000000000351</v>
      </c>
      <c r="D524" s="306">
        <f t="shared" ca="1" si="240"/>
        <v>-0.45126386469738033</v>
      </c>
      <c r="E524" s="307">
        <f t="shared" ca="1" si="241"/>
        <v>-0.56608076491006365</v>
      </c>
      <c r="F524" s="304">
        <f t="shared" ca="1" si="242"/>
        <v>0.72393819348255029</v>
      </c>
      <c r="G524" s="306">
        <f t="shared" ca="1" si="243"/>
        <v>5.2058289186042179</v>
      </c>
      <c r="H524" s="307">
        <f t="shared" ca="1" si="244"/>
        <v>-107.61985553420929</v>
      </c>
      <c r="I524" s="304">
        <f t="shared" ca="1" si="245"/>
        <v>107.74569114323717</v>
      </c>
      <c r="J524" s="306">
        <f t="shared" ca="1" si="246"/>
        <v>769.41280744433277</v>
      </c>
      <c r="K524" s="307">
        <f t="shared" ca="1" si="247"/>
        <v>1426.4227177626844</v>
      </c>
      <c r="L524" s="304">
        <f t="shared" ca="1" si="232"/>
        <v>1620.702883939204</v>
      </c>
      <c r="M524" s="306">
        <f t="shared" ca="1" si="248"/>
        <v>-1.5224616191108153</v>
      </c>
      <c r="N524" s="304">
        <f t="shared" ca="1" si="249"/>
        <v>-87.230625245703592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1.7842999999999964</v>
      </c>
      <c r="T524" s="304">
        <f t="shared" ca="1" si="233"/>
        <v>17.503982999999966</v>
      </c>
      <c r="U524" s="311">
        <f t="shared" ca="1" si="234"/>
        <v>0</v>
      </c>
      <c r="V524" s="306">
        <f t="shared" ca="1" si="235"/>
        <v>1.0618959809785973</v>
      </c>
      <c r="W524" s="304">
        <f t="shared" ca="1" si="236"/>
        <v>16.548126221093106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 t="e">
        <f t="shared" ca="1" si="257"/>
        <v>#N/A</v>
      </c>
      <c r="AD524" s="323" t="e">
        <f t="shared" ca="1" si="258"/>
        <v>#N/A</v>
      </c>
      <c r="AE524" s="324" t="e">
        <f t="shared" ca="1" si="237"/>
        <v>#N/A</v>
      </c>
      <c r="AG524" s="306">
        <f t="shared" ca="1" si="259"/>
        <v>0.54340413028123358</v>
      </c>
      <c r="AH524" s="304">
        <f t="shared" ca="1" si="260"/>
        <v>-9.2549274389617633</v>
      </c>
    </row>
    <row r="525" spans="1:34" x14ac:dyDescent="0.2">
      <c r="A525" s="347">
        <f t="shared" ca="1" si="238"/>
        <v>0.1</v>
      </c>
      <c r="B525" s="304">
        <f t="shared" ca="1" si="239"/>
        <v>44.800000000000352</v>
      </c>
      <c r="D525" s="306">
        <f t="shared" ca="1" si="240"/>
        <v>-0.44809585812621322</v>
      </c>
      <c r="E525" s="307">
        <f t="shared" ca="1" si="241"/>
        <v>-0.54653547378764245</v>
      </c>
      <c r="F525" s="304">
        <f t="shared" ca="1" si="242"/>
        <v>0.70674671713291337</v>
      </c>
      <c r="G525" s="306">
        <f t="shared" ca="1" si="243"/>
        <v>5.1610193327915965</v>
      </c>
      <c r="H525" s="307">
        <f t="shared" ca="1" si="244"/>
        <v>-107.67450908158806</v>
      </c>
      <c r="I525" s="304">
        <f t="shared" ca="1" si="245"/>
        <v>107.79812626625028</v>
      </c>
      <c r="J525" s="306">
        <f t="shared" ca="1" si="246"/>
        <v>769.93114985690261</v>
      </c>
      <c r="K525" s="307">
        <f t="shared" ca="1" si="247"/>
        <v>1415.6579995318946</v>
      </c>
      <c r="L525" s="304">
        <f t="shared" ca="1" si="232"/>
        <v>1611.4842683559209</v>
      </c>
      <c r="M525" s="306">
        <f t="shared" ca="1" si="248"/>
        <v>-1.5229013103268934</v>
      </c>
      <c r="N525" s="304">
        <f t="shared" ca="1" si="249"/>
        <v>-87.255817696673844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1.7842999999999964</v>
      </c>
      <c r="T525" s="304">
        <f t="shared" ca="1" si="233"/>
        <v>17.503982999999966</v>
      </c>
      <c r="U525" s="311">
        <f t="shared" ca="1" si="234"/>
        <v>0</v>
      </c>
      <c r="V525" s="306">
        <f t="shared" ca="1" si="235"/>
        <v>1.0630455039518774</v>
      </c>
      <c r="W525" s="304">
        <f t="shared" ca="1" si="236"/>
        <v>16.582167748218325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 t="e">
        <f t="shared" ca="1" si="237"/>
        <v>#N/A</v>
      </c>
      <c r="AG525" s="306">
        <f t="shared" ca="1" si="259"/>
        <v>0.52424702795506484</v>
      </c>
      <c r="AH525" s="304">
        <f t="shared" ca="1" si="260"/>
        <v>-9.2742959261856974</v>
      </c>
    </row>
    <row r="526" spans="1:34" x14ac:dyDescent="0.2">
      <c r="A526" s="347">
        <f t="shared" ca="1" si="238"/>
        <v>0.1</v>
      </c>
      <c r="B526" s="304">
        <f t="shared" ca="1" si="239"/>
        <v>44.900000000000354</v>
      </c>
      <c r="D526" s="306">
        <f t="shared" ca="1" si="240"/>
        <v>-0.44493616026805111</v>
      </c>
      <c r="E526" s="307">
        <f t="shared" ca="1" si="241"/>
        <v>-0.52728285823033794</v>
      </c>
      <c r="F526" s="304">
        <f t="shared" ca="1" si="242"/>
        <v>0.68992419822588591</v>
      </c>
      <c r="G526" s="306">
        <f t="shared" ca="1" si="243"/>
        <v>5.1165257167647917</v>
      </c>
      <c r="H526" s="307">
        <f t="shared" ca="1" si="244"/>
        <v>-107.72723736741109</v>
      </c>
      <c r="I526" s="304">
        <f t="shared" ca="1" si="245"/>
        <v>107.84867410508508</v>
      </c>
      <c r="J526" s="306">
        <f t="shared" ca="1" si="246"/>
        <v>770.44502710938048</v>
      </c>
      <c r="K526" s="307">
        <f t="shared" ca="1" si="247"/>
        <v>1404.8879122094447</v>
      </c>
      <c r="L526" s="304">
        <f t="shared" ca="1" si="232"/>
        <v>1602.2782485167133</v>
      </c>
      <c r="M526" s="306">
        <f t="shared" ca="1" si="248"/>
        <v>-1.523336800625513</v>
      </c>
      <c r="N526" s="304">
        <f t="shared" ca="1" si="249"/>
        <v>-87.280769452803639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1.7842999999999964</v>
      </c>
      <c r="T526" s="304">
        <f t="shared" ca="1" si="233"/>
        <v>17.503982999999966</v>
      </c>
      <c r="U526" s="311">
        <f t="shared" ca="1" si="234"/>
        <v>0</v>
      </c>
      <c r="V526" s="306">
        <f t="shared" ca="1" si="235"/>
        <v>1.0641967573467264</v>
      </c>
      <c r="W526" s="304">
        <f t="shared" ca="1" si="236"/>
        <v>16.61569749532033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 t="e">
        <f t="shared" ca="1" si="237"/>
        <v>#N/A</v>
      </c>
      <c r="AG526" s="306">
        <f t="shared" ca="1" si="259"/>
        <v>0.50537611987364528</v>
      </c>
      <c r="AH526" s="304">
        <f t="shared" ca="1" si="260"/>
        <v>-9.2933742914411024</v>
      </c>
    </row>
    <row r="527" spans="1:34" x14ac:dyDescent="0.2">
      <c r="A527" s="347">
        <f t="shared" ca="1" si="238"/>
        <v>0.1</v>
      </c>
      <c r="B527" s="304">
        <f t="shared" ca="1" si="239"/>
        <v>45.000000000000355</v>
      </c>
      <c r="D527" s="306">
        <f t="shared" ca="1" si="240"/>
        <v>-0.44178508783019144</v>
      </c>
      <c r="E527" s="307">
        <f t="shared" ca="1" si="241"/>
        <v>-0.50831959094334067</v>
      </c>
      <c r="F527" s="304">
        <f t="shared" ca="1" si="242"/>
        <v>0.6734707642993385</v>
      </c>
      <c r="G527" s="306">
        <f t="shared" ca="1" si="243"/>
        <v>5.0723472079817729</v>
      </c>
      <c r="H527" s="307">
        <f t="shared" ca="1" si="244"/>
        <v>-107.77806932650543</v>
      </c>
      <c r="I527" s="304">
        <f t="shared" ca="1" si="245"/>
        <v>107.89736296104428</v>
      </c>
      <c r="J527" s="306">
        <f t="shared" ca="1" si="246"/>
        <v>770.95447075561776</v>
      </c>
      <c r="K527" s="307">
        <f t="shared" ca="1" si="247"/>
        <v>1394.1126468747489</v>
      </c>
      <c r="L527" s="304">
        <f t="shared" ca="1" si="232"/>
        <v>1593.0853298408697</v>
      </c>
      <c r="M527" s="306">
        <f t="shared" ca="1" si="248"/>
        <v>-1.5237681394410194</v>
      </c>
      <c r="N527" s="304">
        <f t="shared" ca="1" si="249"/>
        <v>-87.305483346472329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1.7842999999999964</v>
      </c>
      <c r="T527" s="304">
        <f t="shared" ca="1" si="233"/>
        <v>17.503982999999966</v>
      </c>
      <c r="U527" s="311">
        <f t="shared" ca="1" si="234"/>
        <v>0</v>
      </c>
      <c r="V527" s="306">
        <f t="shared" ca="1" si="235"/>
        <v>1.0653497241872247</v>
      </c>
      <c r="W527" s="304">
        <f t="shared" ca="1" si="236"/>
        <v>16.648721326548507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>
        <f t="shared" ca="1" si="257"/>
        <v>45.000000000000355</v>
      </c>
      <c r="AD527" s="323">
        <f t="shared" ca="1" si="258"/>
        <v>770.95447075561776</v>
      </c>
      <c r="AE527" s="324" t="e">
        <f t="shared" ca="1" si="237"/>
        <v>#N/A</v>
      </c>
      <c r="AG527" s="306">
        <f t="shared" ca="1" si="259"/>
        <v>0.48678818635950982</v>
      </c>
      <c r="AH527" s="304">
        <f t="shared" ca="1" si="260"/>
        <v>-9.3121658327189163</v>
      </c>
    </row>
    <row r="528" spans="1:34" x14ac:dyDescent="0.2">
      <c r="A528" s="347">
        <f t="shared" ca="1" si="238"/>
        <v>0.1</v>
      </c>
      <c r="B528" s="304">
        <f t="shared" ca="1" si="239"/>
        <v>45.100000000000357</v>
      </c>
      <c r="D528" s="306">
        <f t="shared" ca="1" si="240"/>
        <v>-0.43864294811800769</v>
      </c>
      <c r="E528" s="307">
        <f t="shared" ca="1" si="241"/>
        <v>-0.48964235621479446</v>
      </c>
      <c r="F528" s="304">
        <f t="shared" ca="1" si="242"/>
        <v>0.65738669969298347</v>
      </c>
      <c r="G528" s="306">
        <f t="shared" ca="1" si="243"/>
        <v>5.028482913169972</v>
      </c>
      <c r="H528" s="307">
        <f t="shared" ca="1" si="244"/>
        <v>-107.82703356212691</v>
      </c>
      <c r="I528" s="304">
        <f t="shared" ca="1" si="245"/>
        <v>107.94422081434507</v>
      </c>
      <c r="J528" s="306">
        <f t="shared" ca="1" si="246"/>
        <v>771.4595122616754</v>
      </c>
      <c r="K528" s="307">
        <f t="shared" ca="1" si="247"/>
        <v>1383.3323917303173</v>
      </c>
      <c r="L528" s="304">
        <f t="shared" ca="1" si="232"/>
        <v>1583.9060215395805</v>
      </c>
      <c r="M528" s="306">
        <f t="shared" ca="1" si="248"/>
        <v>-1.5241953753699964</v>
      </c>
      <c r="N528" s="304">
        <f t="shared" ca="1" si="249"/>
        <v>-87.329962162059061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1.7842999999999964</v>
      </c>
      <c r="T528" s="304">
        <f t="shared" ca="1" si="233"/>
        <v>17.503982999999966</v>
      </c>
      <c r="U528" s="311">
        <f t="shared" ca="1" si="234"/>
        <v>0</v>
      </c>
      <c r="V528" s="306">
        <f t="shared" ca="1" si="235"/>
        <v>1.0665043877328502</v>
      </c>
      <c r="W528" s="304">
        <f t="shared" ca="1" si="236"/>
        <v>16.681245084063921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 t="e">
        <f t="shared" ca="1" si="237"/>
        <v>#N/A</v>
      </c>
      <c r="AG528" s="306">
        <f t="shared" ca="1" si="259"/>
        <v>0.46848001742521106</v>
      </c>
      <c r="AH528" s="304">
        <f t="shared" ca="1" si="260"/>
        <v>-9.3306738365457278</v>
      </c>
    </row>
    <row r="529" spans="1:34" x14ac:dyDescent="0.2">
      <c r="A529" s="347">
        <f t="shared" ca="1" si="238"/>
        <v>0.1</v>
      </c>
      <c r="B529" s="304">
        <f t="shared" ca="1" si="239"/>
        <v>45.200000000000358</v>
      </c>
      <c r="D529" s="306">
        <f t="shared" ca="1" si="240"/>
        <v>-0.43551003919269582</v>
      </c>
      <c r="E529" s="307">
        <f t="shared" ca="1" si="241"/>
        <v>-0.47124785078162823</v>
      </c>
      <c r="F529" s="304">
        <f t="shared" ca="1" si="242"/>
        <v>0.64167244845320204</v>
      </c>
      <c r="G529" s="306">
        <f t="shared" ca="1" si="243"/>
        <v>4.9849319092507027</v>
      </c>
      <c r="H529" s="307">
        <f t="shared" ca="1" si="244"/>
        <v>-107.87415834720508</v>
      </c>
      <c r="I529" s="304">
        <f t="shared" ca="1" si="245"/>
        <v>107.98927532518097</v>
      </c>
      <c r="J529" s="306">
        <f t="shared" ca="1" si="246"/>
        <v>771.96018300279638</v>
      </c>
      <c r="K529" s="307">
        <f t="shared" ca="1" si="247"/>
        <v>1372.5473321348506</v>
      </c>
      <c r="L529" s="304">
        <f t="shared" ca="1" si="232"/>
        <v>1574.740836802109</v>
      </c>
      <c r="M529" s="306">
        <f t="shared" ca="1" si="248"/>
        <v>-1.5246185561907262</v>
      </c>
      <c r="N529" s="304">
        <f t="shared" ca="1" si="249"/>
        <v>-87.354208637057752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1.7842999999999964</v>
      </c>
      <c r="T529" s="304">
        <f t="shared" ca="1" si="233"/>
        <v>17.503982999999966</v>
      </c>
      <c r="U529" s="311">
        <f t="shared" ca="1" si="234"/>
        <v>0</v>
      </c>
      <c r="V529" s="306">
        <f t="shared" ca="1" si="235"/>
        <v>1.0676607314761069</v>
      </c>
      <c r="W529" s="304">
        <f t="shared" ca="1" si="236"/>
        <v>16.713274586568758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 t="e">
        <f t="shared" ca="1" si="237"/>
        <v>#N/A</v>
      </c>
      <c r="AG529" s="306">
        <f t="shared" ca="1" si="259"/>
        <v>0.45044841367973021</v>
      </c>
      <c r="AH529" s="304">
        <f t="shared" ca="1" si="260"/>
        <v>-9.3489015771248969</v>
      </c>
    </row>
    <row r="530" spans="1:34" x14ac:dyDescent="0.2">
      <c r="A530" s="347">
        <f t="shared" ca="1" si="238"/>
        <v>0.1</v>
      </c>
      <c r="B530" s="304">
        <f t="shared" ca="1" si="239"/>
        <v>45.30000000000036</v>
      </c>
      <c r="D530" s="306">
        <f t="shared" ca="1" si="240"/>
        <v>-0.43238665002828131</v>
      </c>
      <c r="E530" s="307">
        <f t="shared" ca="1" si="241"/>
        <v>-0.45313278466037588</v>
      </c>
      <c r="F530" s="304">
        <f t="shared" ca="1" si="242"/>
        <v>0.62632861634827608</v>
      </c>
      <c r="G530" s="306">
        <f t="shared" ca="1" si="243"/>
        <v>4.9416932442478743</v>
      </c>
      <c r="H530" s="307">
        <f t="shared" ca="1" si="244"/>
        <v>-107.91947162567112</v>
      </c>
      <c r="I530" s="304">
        <f t="shared" ca="1" si="245"/>
        <v>108.03255383487091</v>
      </c>
      <c r="J530" s="306">
        <f t="shared" ca="1" si="246"/>
        <v>772.45651426047129</v>
      </c>
      <c r="K530" s="307">
        <f t="shared" ca="1" si="247"/>
        <v>1361.7576506362068</v>
      </c>
      <c r="L530" s="304">
        <f t="shared" ca="1" si="232"/>
        <v>1565.5902929852621</v>
      </c>
      <c r="M530" s="306">
        <f t="shared" ca="1" si="248"/>
        <v>-1.5250377288821055</v>
      </c>
      <c r="N530" s="304">
        <f t="shared" ca="1" si="249"/>
        <v>-87.378225463160931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1.7842999999999964</v>
      </c>
      <c r="T530" s="304">
        <f t="shared" ca="1" si="233"/>
        <v>17.503982999999966</v>
      </c>
      <c r="U530" s="311">
        <f t="shared" ca="1" si="234"/>
        <v>0</v>
      </c>
      <c r="V530" s="306">
        <f t="shared" ca="1" si="235"/>
        <v>1.0688187391401598</v>
      </c>
      <c r="W530" s="304">
        <f t="shared" ca="1" si="236"/>
        <v>16.744815627896575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 t="e">
        <f t="shared" ca="1" si="237"/>
        <v>#N/A</v>
      </c>
      <c r="AG530" s="306">
        <f t="shared" ca="1" si="259"/>
        <v>0.43269018719868946</v>
      </c>
      <c r="AH530" s="304">
        <f t="shared" ca="1" si="260"/>
        <v>-9.3668523155124088</v>
      </c>
    </row>
    <row r="531" spans="1:34" x14ac:dyDescent="0.2">
      <c r="A531" s="347">
        <f t="shared" ca="1" si="238"/>
        <v>0.1</v>
      </c>
      <c r="B531" s="304">
        <f t="shared" ca="1" si="239"/>
        <v>45.400000000000361</v>
      </c>
      <c r="D531" s="306">
        <f t="shared" ca="1" si="240"/>
        <v>-0.42927306066784271</v>
      </c>
      <c r="E531" s="307">
        <f t="shared" ca="1" si="241"/>
        <v>-0.43529388194366092</v>
      </c>
      <c r="F531" s="304">
        <f t="shared" ca="1" si="242"/>
        <v>0.61135597181406443</v>
      </c>
      <c r="G531" s="306">
        <f t="shared" ca="1" si="243"/>
        <v>4.8987659381810902</v>
      </c>
      <c r="H531" s="307">
        <f t="shared" ca="1" si="244"/>
        <v>-107.96300101386549</v>
      </c>
      <c r="I531" s="304">
        <f t="shared" ca="1" si="245"/>
        <v>108.07408336709132</v>
      </c>
      <c r="J531" s="306">
        <f t="shared" ca="1" si="246"/>
        <v>772.94853721959271</v>
      </c>
      <c r="K531" s="307">
        <f t="shared" ca="1" si="247"/>
        <v>1350.9635270042299</v>
      </c>
      <c r="L531" s="304">
        <f t="shared" ca="1" si="232"/>
        <v>1556.4549118061907</v>
      </c>
      <c r="M531" s="306">
        <f t="shared" ca="1" si="248"/>
        <v>-1.5254529396420389</v>
      </c>
      <c r="N531" s="304">
        <f t="shared" ca="1" si="249"/>
        <v>-87.402015287313532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1.7842999999999964</v>
      </c>
      <c r="T531" s="304">
        <f t="shared" ca="1" si="233"/>
        <v>17.503982999999966</v>
      </c>
      <c r="U531" s="311">
        <f t="shared" ca="1" si="234"/>
        <v>0</v>
      </c>
      <c r="V531" s="306">
        <f t="shared" ca="1" si="235"/>
        <v>1.0699783946764687</v>
      </c>
      <c r="W531" s="304">
        <f t="shared" ca="1" si="236"/>
        <v>16.775873975661497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 t="e">
        <f t="shared" ca="1" si="237"/>
        <v>#N/A</v>
      </c>
      <c r="AG531" s="306">
        <f t="shared" ca="1" si="259"/>
        <v>0.41520216235903362</v>
      </c>
      <c r="AH531" s="304">
        <f t="shared" ca="1" si="260"/>
        <v>-9.3845292988267719</v>
      </c>
    </row>
    <row r="532" spans="1:34" x14ac:dyDescent="0.2">
      <c r="A532" s="347">
        <f t="shared" ca="1" si="238"/>
        <v>0.1</v>
      </c>
      <c r="B532" s="304">
        <f t="shared" ca="1" si="239"/>
        <v>45.500000000000362</v>
      </c>
      <c r="D532" s="306">
        <f t="shared" ca="1" si="240"/>
        <v>-0.42616954237884114</v>
      </c>
      <c r="E532" s="307">
        <f t="shared" ca="1" si="241"/>
        <v>-0.41772788156334606</v>
      </c>
      <c r="F532" s="304">
        <f t="shared" ca="1" si="242"/>
        <v>0.59675544562809957</v>
      </c>
      <c r="G532" s="306">
        <f t="shared" ca="1" si="243"/>
        <v>4.8561489839432062</v>
      </c>
      <c r="H532" s="307">
        <f t="shared" ca="1" si="244"/>
        <v>-108.00477380202183</v>
      </c>
      <c r="I532" s="304">
        <f t="shared" ca="1" si="245"/>
        <v>108.11389062918859</v>
      </c>
      <c r="J532" s="306">
        <f t="shared" ca="1" si="246"/>
        <v>773.43628296569898</v>
      </c>
      <c r="K532" s="307">
        <f t="shared" ca="1" si="247"/>
        <v>1340.1651382634357</v>
      </c>
      <c r="L532" s="304">
        <f t="shared" ca="1" si="232"/>
        <v>1547.3352195385621</v>
      </c>
      <c r="M532" s="306">
        <f t="shared" ca="1" si="248"/>
        <v>-1.5258642339053232</v>
      </c>
      <c r="N532" s="304">
        <f t="shared" ca="1" si="249"/>
        <v>-87.42558071273767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1.7842999999999964</v>
      </c>
      <c r="T532" s="304">
        <f t="shared" ca="1" si="233"/>
        <v>17.503982999999966</v>
      </c>
      <c r="U532" s="311">
        <f t="shared" ca="1" si="234"/>
        <v>0</v>
      </c>
      <c r="V532" s="306">
        <f t="shared" ca="1" si="235"/>
        <v>1.0711396822624304</v>
      </c>
      <c r="W532" s="304">
        <f t="shared" ca="1" si="236"/>
        <v>16.806455369965573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 t="e">
        <f t="shared" ca="1" si="237"/>
        <v>#N/A</v>
      </c>
      <c r="AG532" s="306">
        <f t="shared" ca="1" si="259"/>
        <v>0.39798117663928956</v>
      </c>
      <c r="AH532" s="304">
        <f t="shared" ca="1" si="260"/>
        <v>-9.401935759491975</v>
      </c>
    </row>
    <row r="533" spans="1:34" x14ac:dyDescent="0.2">
      <c r="A533" s="347">
        <f t="shared" ca="1" si="238"/>
        <v>0.1</v>
      </c>
      <c r="B533" s="304">
        <f t="shared" ca="1" si="239"/>
        <v>45.600000000000364</v>
      </c>
      <c r="D533" s="306">
        <f t="shared" ca="1" si="240"/>
        <v>-0.42307635780751818</v>
      </c>
      <c r="E533" s="307">
        <f t="shared" ca="1" si="241"/>
        <v>-0.40043153802083076</v>
      </c>
      <c r="F533" s="304">
        <f t="shared" ca="1" si="242"/>
        <v>0.5825281290868306</v>
      </c>
      <c r="G533" s="306">
        <f t="shared" ca="1" si="243"/>
        <v>4.8138413481624545</v>
      </c>
      <c r="H533" s="307">
        <f t="shared" ca="1" si="244"/>
        <v>-108.04481695582392</v>
      </c>
      <c r="I533" s="304">
        <f t="shared" ca="1" si="245"/>
        <v>108.1520020135678</v>
      </c>
      <c r="J533" s="306">
        <f t="shared" ca="1" si="246"/>
        <v>773.9197824823043</v>
      </c>
      <c r="K533" s="307">
        <f t="shared" ca="1" si="247"/>
        <v>1329.3626587255433</v>
      </c>
      <c r="L533" s="304">
        <f t="shared" ca="1" si="232"/>
        <v>1538.2317472121365</v>
      </c>
      <c r="M533" s="306">
        <f t="shared" ca="1" si="248"/>
        <v>-1.526271656361041</v>
      </c>
      <c r="N533" s="304">
        <f t="shared" ca="1" si="249"/>
        <v>-87.44892429992916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1.7842999999999964</v>
      </c>
      <c r="T533" s="304">
        <f t="shared" ca="1" si="233"/>
        <v>17.503982999999966</v>
      </c>
      <c r="U533" s="311">
        <f t="shared" ca="1" si="234"/>
        <v>0</v>
      </c>
      <c r="V533" s="306">
        <f t="shared" ca="1" si="235"/>
        <v>1.0723025862990234</v>
      </c>
      <c r="W533" s="304">
        <f t="shared" ca="1" si="236"/>
        <v>16.836565522162413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 t="e">
        <f t="shared" ca="1" si="237"/>
        <v>#N/A</v>
      </c>
      <c r="AG533" s="306">
        <f t="shared" ca="1" si="259"/>
        <v>0.38102408138586163</v>
      </c>
      <c r="AH533" s="304">
        <f t="shared" ca="1" si="260"/>
        <v>-9.4190749145130344</v>
      </c>
    </row>
    <row r="534" spans="1:34" x14ac:dyDescent="0.2">
      <c r="A534" s="347">
        <f t="shared" ca="1" si="238"/>
        <v>0.1</v>
      </c>
      <c r="B534" s="304">
        <f t="shared" ca="1" si="239"/>
        <v>45.700000000000365</v>
      </c>
      <c r="D534" s="306">
        <f t="shared" ca="1" si="240"/>
        <v>-0.41999376113228598</v>
      </c>
      <c r="E534" s="307">
        <f t="shared" ca="1" si="241"/>
        <v>-0.38340162208552897</v>
      </c>
      <c r="F534" s="304">
        <f t="shared" ca="1" si="242"/>
        <v>0.56867527043811084</v>
      </c>
      <c r="G534" s="306">
        <f t="shared" ca="1" si="243"/>
        <v>4.7718419720492262</v>
      </c>
      <c r="H534" s="307">
        <f t="shared" ca="1" si="244"/>
        <v>-108.08315711803247</v>
      </c>
      <c r="I534" s="304">
        <f t="shared" ca="1" si="245"/>
        <v>108.18844359915482</v>
      </c>
      <c r="J534" s="306">
        <f t="shared" ca="1" si="246"/>
        <v>774.39906664831483</v>
      </c>
      <c r="K534" s="307">
        <f t="shared" ca="1" si="247"/>
        <v>1318.5562600218504</v>
      </c>
      <c r="L534" s="304">
        <f t="shared" ca="1" si="232"/>
        <v>1529.1450308157794</v>
      </c>
      <c r="M534" s="306">
        <f t="shared" ca="1" si="248"/>
        <v>-1.5266752509694754</v>
      </c>
      <c r="N534" s="304">
        <f t="shared" ca="1" si="249"/>
        <v>-87.472048567626686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1.7842999999999964</v>
      </c>
      <c r="T534" s="304">
        <f t="shared" ca="1" si="233"/>
        <v>17.503982999999966</v>
      </c>
      <c r="U534" s="311">
        <f t="shared" ca="1" si="234"/>
        <v>0</v>
      </c>
      <c r="V534" s="306">
        <f t="shared" ca="1" si="235"/>
        <v>1.0734670914084583</v>
      </c>
      <c r="W534" s="304">
        <f t="shared" ca="1" si="236"/>
        <v>16.866210113676036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 t="e">
        <f t="shared" ca="1" si="257"/>
        <v>#N/A</v>
      </c>
      <c r="AD534" s="323" t="e">
        <f t="shared" ca="1" si="258"/>
        <v>#N/A</v>
      </c>
      <c r="AE534" s="324" t="e">
        <f t="shared" ca="1" si="237"/>
        <v>#N/A</v>
      </c>
      <c r="AG534" s="306">
        <f t="shared" ca="1" si="259"/>
        <v>0.36432774254650369</v>
      </c>
      <c r="AH534" s="304">
        <f t="shared" ca="1" si="260"/>
        <v>-9.4359499647830791</v>
      </c>
    </row>
    <row r="535" spans="1:34" x14ac:dyDescent="0.2">
      <c r="A535" s="347">
        <f t="shared" ca="1" si="238"/>
        <v>0.1</v>
      </c>
      <c r="B535" s="304">
        <f t="shared" ca="1" si="239"/>
        <v>45.800000000000367</v>
      </c>
      <c r="D535" s="306">
        <f t="shared" ca="1" si="240"/>
        <v>-0.41692199821606329</v>
      </c>
      <c r="E535" s="307">
        <f t="shared" ca="1" si="241"/>
        <v>-0.36663492146216825</v>
      </c>
      <c r="F535" s="304">
        <f t="shared" ca="1" si="242"/>
        <v>0.55519826929849603</v>
      </c>
      <c r="G535" s="306">
        <f t="shared" ca="1" si="243"/>
        <v>4.7301497722276196</v>
      </c>
      <c r="H535" s="307">
        <f t="shared" ca="1" si="244"/>
        <v>-108.11982061017869</v>
      </c>
      <c r="I535" s="304">
        <f t="shared" ca="1" si="245"/>
        <v>108.22324115292854</v>
      </c>
      <c r="J535" s="306">
        <f t="shared" ca="1" si="246"/>
        <v>774.87416623552872</v>
      </c>
      <c r="K535" s="307">
        <f t="shared" ca="1" si="247"/>
        <v>1307.7461111354398</v>
      </c>
      <c r="L535" s="304">
        <f t="shared" ca="1" si="232"/>
        <v>1520.0756115039383</v>
      </c>
      <c r="M535" s="306">
        <f t="shared" ca="1" si="248"/>
        <v>-1.5270750609785646</v>
      </c>
      <c r="N535" s="304">
        <f t="shared" ca="1" si="249"/>
        <v>-87.494955993754587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1.7842999999999964</v>
      </c>
      <c r="T535" s="304">
        <f t="shared" ca="1" si="233"/>
        <v>17.503982999999966</v>
      </c>
      <c r="U535" s="311">
        <f t="shared" ca="1" si="234"/>
        <v>0</v>
      </c>
      <c r="V535" s="306">
        <f t="shared" ca="1" si="235"/>
        <v>1.0746331824318376</v>
      </c>
      <c r="W535" s="304">
        <f t="shared" ca="1" si="236"/>
        <v>16.895394794873603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 t="e">
        <f t="shared" ca="1" si="237"/>
        <v>#N/A</v>
      </c>
      <c r="AG535" s="306">
        <f t="shared" ca="1" si="259"/>
        <v>0.34788904137159449</v>
      </c>
      <c r="AH535" s="304">
        <f t="shared" ca="1" si="260"/>
        <v>-9.4525640944213816</v>
      </c>
    </row>
    <row r="536" spans="1:34" x14ac:dyDescent="0.2">
      <c r="A536" s="347">
        <f t="shared" ca="1" si="238"/>
        <v>0.1</v>
      </c>
      <c r="B536" s="304">
        <f t="shared" ca="1" si="239"/>
        <v>45.900000000000368</v>
      </c>
      <c r="D536" s="306">
        <f t="shared" ca="1" si="240"/>
        <v>-0.41386130675748789</v>
      </c>
      <c r="E536" s="307">
        <f t="shared" ca="1" si="241"/>
        <v>-0.35012824142761545</v>
      </c>
      <c r="F536" s="304">
        <f t="shared" ca="1" si="242"/>
        <v>0.54209866876446955</v>
      </c>
      <c r="G536" s="306">
        <f t="shared" ca="1" si="243"/>
        <v>4.688763641551871</v>
      </c>
      <c r="H536" s="307">
        <f t="shared" ca="1" si="244"/>
        <v>-108.15483343432146</v>
      </c>
      <c r="I536" s="304">
        <f t="shared" ca="1" si="245"/>
        <v>108.25642013151996</v>
      </c>
      <c r="J536" s="306">
        <f t="shared" ca="1" si="246"/>
        <v>775.34511190621765</v>
      </c>
      <c r="K536" s="307">
        <f t="shared" ca="1" si="247"/>
        <v>1296.9323784332148</v>
      </c>
      <c r="L536" s="304">
        <f t="shared" ca="1" si="232"/>
        <v>1511.0240358066117</v>
      </c>
      <c r="M536" s="306">
        <f t="shared" ca="1" si="248"/>
        <v>-1.5274711289399077</v>
      </c>
      <c r="N536" s="304">
        <f t="shared" ca="1" si="249"/>
        <v>-87.517649016339888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1.7842999999999964</v>
      </c>
      <c r="T536" s="304">
        <f t="shared" ca="1" si="233"/>
        <v>17.503982999999966</v>
      </c>
      <c r="U536" s="311">
        <f t="shared" ca="1" si="234"/>
        <v>0</v>
      </c>
      <c r="V536" s="306">
        <f t="shared" ca="1" si="235"/>
        <v>1.075800844426819</v>
      </c>
      <c r="W536" s="304">
        <f t="shared" ca="1" si="236"/>
        <v>16.924125183990601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 t="e">
        <f t="shared" ca="1" si="237"/>
        <v>#N/A</v>
      </c>
      <c r="AG536" s="306">
        <f t="shared" ca="1" si="259"/>
        <v>0.33170487508400548</v>
      </c>
      <c r="AH536" s="304">
        <f t="shared" ca="1" si="260"/>
        <v>-9.4689204701415886</v>
      </c>
    </row>
    <row r="537" spans="1:34" x14ac:dyDescent="0.2">
      <c r="A537" s="347">
        <f t="shared" ca="1" si="238"/>
        <v>0.1</v>
      </c>
      <c r="B537" s="304">
        <f t="shared" ca="1" si="239"/>
        <v>46.000000000000369</v>
      </c>
      <c r="D537" s="306">
        <f t="shared" ca="1" si="240"/>
        <v>-0.41081191644096154</v>
      </c>
      <c r="E537" s="307">
        <f t="shared" ca="1" si="241"/>
        <v>-0.33387840543807101</v>
      </c>
      <c r="F537" s="304">
        <f t="shared" ca="1" si="242"/>
        <v>0.52937814490944424</v>
      </c>
      <c r="G537" s="306">
        <f t="shared" ca="1" si="243"/>
        <v>4.6476824499077747</v>
      </c>
      <c r="H537" s="307">
        <f t="shared" ca="1" si="244"/>
        <v>-108.18822127486527</v>
      </c>
      <c r="I537" s="304">
        <f t="shared" ca="1" si="245"/>
        <v>108.28800568287511</v>
      </c>
      <c r="J537" s="306">
        <f t="shared" ca="1" si="246"/>
        <v>775.81193421079058</v>
      </c>
      <c r="K537" s="307">
        <f t="shared" ca="1" si="247"/>
        <v>1286.1152256977555</v>
      </c>
      <c r="L537" s="304">
        <f t="shared" ca="1" si="232"/>
        <v>1501.9908558428299</v>
      </c>
      <c r="M537" s="306">
        <f t="shared" ca="1" si="248"/>
        <v>-1.527863496724337</v>
      </c>
      <c r="N537" s="304">
        <f t="shared" ca="1" si="249"/>
        <v>-87.540130034404584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1.7842999999999964</v>
      </c>
      <c r="T537" s="304">
        <f t="shared" ca="1" si="233"/>
        <v>17.503982999999966</v>
      </c>
      <c r="U537" s="311">
        <f t="shared" ca="1" si="234"/>
        <v>0</v>
      </c>
      <c r="V537" s="306">
        <f t="shared" ca="1" si="235"/>
        <v>1.0769700626652878</v>
      </c>
      <c r="W537" s="304">
        <f t="shared" ca="1" si="236"/>
        <v>16.9524068661072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>
        <f t="shared" ca="1" si="257"/>
        <v>46.000000000000369</v>
      </c>
      <c r="AD537" s="323">
        <f t="shared" ca="1" si="258"/>
        <v>775.81193421079058</v>
      </c>
      <c r="AE537" s="324" t="e">
        <f t="shared" ca="1" si="237"/>
        <v>#N/A</v>
      </c>
      <c r="AG537" s="306">
        <f t="shared" ca="1" si="259"/>
        <v>0.31577215751838494</v>
      </c>
      <c r="AH537" s="304">
        <f t="shared" ca="1" si="260"/>
        <v>-9.4850222406493501</v>
      </c>
    </row>
    <row r="538" spans="1:34" x14ac:dyDescent="0.2">
      <c r="A538" s="347">
        <f t="shared" ca="1" si="238"/>
        <v>0.1</v>
      </c>
      <c r="B538" s="304">
        <f t="shared" ca="1" si="239"/>
        <v>46.100000000000371</v>
      </c>
      <c r="D538" s="306">
        <f t="shared" ca="1" si="240"/>
        <v>-0.40777404908547449</v>
      </c>
      <c r="E538" s="307">
        <f t="shared" ca="1" si="241"/>
        <v>-0.31788225570735129</v>
      </c>
      <c r="F538" s="304">
        <f t="shared" ca="1" si="242"/>
        <v>0.51703849334566654</v>
      </c>
      <c r="G538" s="306">
        <f t="shared" ca="1" si="243"/>
        <v>4.6069050449992268</v>
      </c>
      <c r="H538" s="307">
        <f t="shared" ca="1" si="244"/>
        <v>-108.22000950043601</v>
      </c>
      <c r="I538" s="304">
        <f t="shared" ca="1" si="245"/>
        <v>108.31802264797903</v>
      </c>
      <c r="J538" s="306">
        <f t="shared" ca="1" si="246"/>
        <v>776.2746635855359</v>
      </c>
      <c r="K538" s="307">
        <f t="shared" ca="1" si="247"/>
        <v>1275.2948141589904</v>
      </c>
      <c r="L538" s="304">
        <f t="shared" ca="1" si="232"/>
        <v>1492.9766295376667</v>
      </c>
      <c r="M538" s="306">
        <f t="shared" ca="1" si="248"/>
        <v>-1.5282522055370693</v>
      </c>
      <c r="N538" s="304">
        <f t="shared" ca="1" si="249"/>
        <v>-87.562401408833693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1.7842999999999964</v>
      </c>
      <c r="T538" s="304">
        <f t="shared" ca="1" si="233"/>
        <v>17.503982999999966</v>
      </c>
      <c r="U538" s="311">
        <f t="shared" ca="1" si="234"/>
        <v>0</v>
      </c>
      <c r="V538" s="306">
        <f t="shared" ca="1" si="235"/>
        <v>1.0781408226310383</v>
      </c>
      <c r="W538" s="304">
        <f t="shared" ca="1" si="236"/>
        <v>16.980245392174592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 t="e">
        <f t="shared" ca="1" si="237"/>
        <v>#N/A</v>
      </c>
      <c r="AG538" s="306">
        <f t="shared" ca="1" si="259"/>
        <v>0.30008781973068466</v>
      </c>
      <c r="AH538" s="304">
        <f t="shared" ca="1" si="260"/>
        <v>-9.5008725360686181</v>
      </c>
    </row>
    <row r="539" spans="1:34" x14ac:dyDescent="0.2">
      <c r="A539" s="347">
        <f t="shared" ca="1" si="238"/>
        <v>0.1</v>
      </c>
      <c r="B539" s="304">
        <f t="shared" ca="1" si="239"/>
        <v>46.200000000000372</v>
      </c>
      <c r="D539" s="306">
        <f t="shared" ca="1" si="240"/>
        <v>-0.40474791879217065</v>
      </c>
      <c r="E539" s="307">
        <f t="shared" ca="1" si="241"/>
        <v>-0.30213665375691434</v>
      </c>
      <c r="F539" s="304">
        <f t="shared" ca="1" si="242"/>
        <v>0.50508161252417327</v>
      </c>
      <c r="G539" s="306">
        <f t="shared" ca="1" si="243"/>
        <v>4.5664302531200098</v>
      </c>
      <c r="H539" s="307">
        <f t="shared" ca="1" si="244"/>
        <v>-108.2502231658117</v>
      </c>
      <c r="I539" s="304">
        <f t="shared" ca="1" si="245"/>
        <v>108.34649556263759</v>
      </c>
      <c r="J539" s="306">
        <f t="shared" ca="1" si="246"/>
        <v>776.73333035044186</v>
      </c>
      <c r="K539" s="307">
        <f t="shared" ca="1" si="247"/>
        <v>1264.4713025256781</v>
      </c>
      <c r="L539" s="304">
        <f t="shared" ca="1" si="232"/>
        <v>1483.9819208427957</v>
      </c>
      <c r="M539" s="306">
        <f t="shared" ca="1" si="248"/>
        <v>-1.5286372959324499</v>
      </c>
      <c r="N539" s="304">
        <f t="shared" ca="1" si="249"/>
        <v>-87.584465463220027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1.7842999999999964</v>
      </c>
      <c r="T539" s="304">
        <f t="shared" ca="1" si="233"/>
        <v>17.503982999999966</v>
      </c>
      <c r="U539" s="311">
        <f t="shared" ca="1" si="234"/>
        <v>0</v>
      </c>
      <c r="V539" s="306">
        <f t="shared" ca="1" si="235"/>
        <v>1.0793131100174613</v>
      </c>
      <c r="W539" s="304">
        <f t="shared" ca="1" si="236"/>
        <v>17.007646278089869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 t="e">
        <f t="shared" ca="1" si="237"/>
        <v>#N/A</v>
      </c>
      <c r="AG539" s="306">
        <f t="shared" ca="1" si="259"/>
        <v>0.28464881057854008</v>
      </c>
      <c r="AH539" s="304">
        <f t="shared" ca="1" si="260"/>
        <v>-9.5164744673959678</v>
      </c>
    </row>
    <row r="540" spans="1:34" x14ac:dyDescent="0.2">
      <c r="A540" s="347">
        <f t="shared" ca="1" si="238"/>
        <v>0.1</v>
      </c>
      <c r="B540" s="304">
        <f t="shared" ca="1" si="239"/>
        <v>46.300000000000374</v>
      </c>
      <c r="D540" s="306">
        <f t="shared" ca="1" si="240"/>
        <v>-0.40173373209059693</v>
      </c>
      <c r="E540" s="307">
        <f t="shared" ca="1" si="241"/>
        <v>-0.28663848093845701</v>
      </c>
      <c r="F540" s="304">
        <f t="shared" ca="1" si="242"/>
        <v>0.49350948344904749</v>
      </c>
      <c r="G540" s="306">
        <f t="shared" ca="1" si="243"/>
        <v>4.5262568799109504</v>
      </c>
      <c r="H540" s="307">
        <f t="shared" ca="1" si="244"/>
        <v>-108.27888701390555</v>
      </c>
      <c r="I540" s="304">
        <f t="shared" ca="1" si="245"/>
        <v>108.37344865931445</v>
      </c>
      <c r="J540" s="306">
        <f t="shared" ca="1" si="246"/>
        <v>777.18796470709344</v>
      </c>
      <c r="K540" s="307">
        <f t="shared" ca="1" si="247"/>
        <v>1253.6448470166922</v>
      </c>
      <c r="L540" s="304">
        <f t="shared" ca="1" si="232"/>
        <v>1475.0072999606002</v>
      </c>
      <c r="M540" s="306">
        <f t="shared" ca="1" si="248"/>
        <v>-1.5290188078283009</v>
      </c>
      <c r="N540" s="304">
        <f t="shared" ca="1" si="249"/>
        <v>-87.606324484686326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1.7842999999999964</v>
      </c>
      <c r="T540" s="304">
        <f t="shared" ca="1" si="233"/>
        <v>17.503982999999966</v>
      </c>
      <c r="U540" s="311">
        <f t="shared" ca="1" si="234"/>
        <v>0</v>
      </c>
      <c r="V540" s="306">
        <f t="shared" ca="1" si="235"/>
        <v>1.0804869107252435</v>
      </c>
      <c r="W540" s="304">
        <f t="shared" ca="1" si="236"/>
        <v>17.034615003818313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 t="e">
        <f t="shared" ca="1" si="237"/>
        <v>#N/A</v>
      </c>
      <c r="AG540" s="306">
        <f t="shared" ca="1" si="259"/>
        <v>0.26945209727343844</v>
      </c>
      <c r="AH540" s="304">
        <f t="shared" ca="1" si="260"/>
        <v>-9.5318311259821229</v>
      </c>
    </row>
    <row r="541" spans="1:34" x14ac:dyDescent="0.2">
      <c r="A541" s="347">
        <f t="shared" ca="1" si="238"/>
        <v>0.1</v>
      </c>
      <c r="B541" s="304">
        <f t="shared" ca="1" si="239"/>
        <v>46.400000000000375</v>
      </c>
      <c r="D541" s="306">
        <f t="shared" ca="1" si="240"/>
        <v>-0.39873168808360582</v>
      </c>
      <c r="E541" s="307">
        <f t="shared" ca="1" si="241"/>
        <v>-0.27138463892972808</v>
      </c>
      <c r="F541" s="304">
        <f t="shared" ca="1" si="242"/>
        <v>0.4823241454965953</v>
      </c>
      <c r="G541" s="306">
        <f t="shared" ca="1" si="243"/>
        <v>4.4863837111025902</v>
      </c>
      <c r="H541" s="307">
        <f t="shared" ca="1" si="244"/>
        <v>-108.30602547779851</v>
      </c>
      <c r="I541" s="304">
        <f t="shared" ca="1" si="245"/>
        <v>108.3989058690206</v>
      </c>
      <c r="J541" s="306">
        <f t="shared" ca="1" si="246"/>
        <v>777.6385967366441</v>
      </c>
      <c r="K541" s="307">
        <f t="shared" ca="1" si="247"/>
        <v>1242.8156013921071</v>
      </c>
      <c r="L541" s="304">
        <f t="shared" ca="1" si="232"/>
        <v>1466.0533435718366</v>
      </c>
      <c r="M541" s="306">
        <f t="shared" ca="1" si="248"/>
        <v>-1.5293967805198858</v>
      </c>
      <c r="N541" s="304">
        <f t="shared" ca="1" si="249"/>
        <v>-87.62798072468533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1.7842999999999964</v>
      </c>
      <c r="T541" s="304">
        <f t="shared" ca="1" si="233"/>
        <v>17.503982999999966</v>
      </c>
      <c r="U541" s="311">
        <f t="shared" ca="1" si="234"/>
        <v>0</v>
      </c>
      <c r="V541" s="306">
        <f t="shared" ca="1" si="235"/>
        <v>1.0816622108600746</v>
      </c>
      <c r="W541" s="304">
        <f t="shared" ca="1" si="236"/>
        <v>17.061157012561818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 t="e">
        <f t="shared" ca="1" si="237"/>
        <v>#N/A</v>
      </c>
      <c r="AG541" s="306">
        <f t="shared" ca="1" si="259"/>
        <v>0.25449466590527337</v>
      </c>
      <c r="AH541" s="304">
        <f t="shared" ca="1" si="260"/>
        <v>-9.546945583040042</v>
      </c>
    </row>
    <row r="542" spans="1:34" x14ac:dyDescent="0.2">
      <c r="A542" s="347">
        <f t="shared" ca="1" si="238"/>
        <v>0.1</v>
      </c>
      <c r="B542" s="304">
        <f t="shared" ca="1" si="239"/>
        <v>46.500000000000377</v>
      </c>
      <c r="D542" s="306">
        <f t="shared" ca="1" si="240"/>
        <v>-0.39574197859087862</v>
      </c>
      <c r="E542" s="307">
        <f t="shared" ca="1" si="241"/>
        <v>-0.25637205020426279</v>
      </c>
      <c r="F542" s="304">
        <f t="shared" ca="1" si="242"/>
        <v>0.47152766805879004</v>
      </c>
      <c r="G542" s="306">
        <f t="shared" ca="1" si="243"/>
        <v>4.4468095132435019</v>
      </c>
      <c r="H542" s="307">
        <f t="shared" ca="1" si="244"/>
        <v>-108.33166268281894</v>
      </c>
      <c r="I542" s="304">
        <f t="shared" ca="1" si="245"/>
        <v>108.42289082325345</v>
      </c>
      <c r="J542" s="306">
        <f t="shared" ca="1" si="246"/>
        <v>778.08525639786137</v>
      </c>
      <c r="K542" s="307">
        <f t="shared" ca="1" si="247"/>
        <v>1231.9837169840762</v>
      </c>
      <c r="L542" s="304">
        <f t="shared" ca="1" si="232"/>
        <v>1457.1206350668519</v>
      </c>
      <c r="M542" s="306">
        <f t="shared" ca="1" si="248"/>
        <v>-1.529771252693503</v>
      </c>
      <c r="N542" s="304">
        <f t="shared" ca="1" si="249"/>
        <v>-87.649436399778693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1.7842999999999964</v>
      </c>
      <c r="T542" s="304">
        <f t="shared" ca="1" si="233"/>
        <v>17.503982999999966</v>
      </c>
      <c r="U542" s="311">
        <f t="shared" ca="1" si="234"/>
        <v>0</v>
      </c>
      <c r="V542" s="306">
        <f t="shared" ca="1" si="235"/>
        <v>1.0828389967303662</v>
      </c>
      <c r="W542" s="304">
        <f t="shared" ca="1" si="236"/>
        <v>17.08727770997216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 t="e">
        <f t="shared" ca="1" si="237"/>
        <v>#N/A</v>
      </c>
      <c r="AG542" s="306">
        <f t="shared" ca="1" si="259"/>
        <v>0.23977352194010138</v>
      </c>
      <c r="AH542" s="304">
        <f t="shared" ca="1" si="260"/>
        <v>-9.5618208891788665</v>
      </c>
    </row>
    <row r="543" spans="1:34" x14ac:dyDescent="0.2">
      <c r="A543" s="347">
        <f t="shared" ca="1" si="238"/>
        <v>0.1</v>
      </c>
      <c r="B543" s="304">
        <f t="shared" ca="1" si="239"/>
        <v>46.600000000000378</v>
      </c>
      <c r="D543" s="306">
        <f t="shared" ca="1" si="240"/>
        <v>-0.39276478829101813</v>
      </c>
      <c r="E543" s="307">
        <f t="shared" ca="1" si="241"/>
        <v>-0.24159765847577575</v>
      </c>
      <c r="F543" s="304">
        <f t="shared" ca="1" si="242"/>
        <v>0.46112211777604623</v>
      </c>
      <c r="G543" s="306">
        <f t="shared" ca="1" si="243"/>
        <v>4.4075330344144001</v>
      </c>
      <c r="H543" s="307">
        <f t="shared" ca="1" si="244"/>
        <v>-108.35582244866652</v>
      </c>
      <c r="I543" s="304">
        <f t="shared" ca="1" si="245"/>
        <v>108.44542685598317</v>
      </c>
      <c r="J543" s="306">
        <f t="shared" ca="1" si="246"/>
        <v>778.52797352524431</v>
      </c>
      <c r="K543" s="307">
        <f t="shared" ca="1" si="247"/>
        <v>1221.149342727502</v>
      </c>
      <c r="L543" s="304">
        <f t="shared" ca="1" si="232"/>
        <v>1448.2097647803421</v>
      </c>
      <c r="M543" s="306">
        <f t="shared" ca="1" si="248"/>
        <v>-1.5301422624397176</v>
      </c>
      <c r="N543" s="304">
        <f t="shared" ca="1" si="249"/>
        <v>-87.670693692395005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1.7842999999999964</v>
      </c>
      <c r="T543" s="304">
        <f t="shared" ca="1" si="233"/>
        <v>17.503982999999966</v>
      </c>
      <c r="U543" s="311">
        <f t="shared" ca="1" si="234"/>
        <v>0</v>
      </c>
      <c r="V543" s="306">
        <f t="shared" ca="1" si="235"/>
        <v>1.0840172548449798</v>
      </c>
      <c r="W543" s="304">
        <f t="shared" ca="1" si="236"/>
        <v>17.112982463407988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 t="e">
        <f t="shared" ca="1" si="237"/>
        <v>#N/A</v>
      </c>
      <c r="AG543" s="306">
        <f t="shared" ca="1" si="259"/>
        <v>0.22528569069178772</v>
      </c>
      <c r="AH543" s="304">
        <f t="shared" ca="1" si="260"/>
        <v>-9.5764600739630072</v>
      </c>
    </row>
    <row r="544" spans="1:34" x14ac:dyDescent="0.2">
      <c r="A544" s="347">
        <f t="shared" ca="1" si="238"/>
        <v>0.1</v>
      </c>
      <c r="B544" s="304">
        <f t="shared" ca="1" si="239"/>
        <v>46.700000000000379</v>
      </c>
      <c r="D544" s="306">
        <f t="shared" ca="1" si="240"/>
        <v>-0.38980029486219814</v>
      </c>
      <c r="E544" s="307">
        <f t="shared" ca="1" si="241"/>
        <v>-0.22705842911784302</v>
      </c>
      <c r="F544" s="304">
        <f t="shared" ca="1" si="242"/>
        <v>0.45110952118983166</v>
      </c>
      <c r="G544" s="306">
        <f t="shared" ca="1" si="243"/>
        <v>4.36855300492818</v>
      </c>
      <c r="H544" s="307">
        <f t="shared" ca="1" si="244"/>
        <v>-108.37852829157831</v>
      </c>
      <c r="I544" s="304">
        <f t="shared" ca="1" si="245"/>
        <v>108.46653700568349</v>
      </c>
      <c r="J544" s="306">
        <f t="shared" ca="1" si="246"/>
        <v>778.96677782721144</v>
      </c>
      <c r="K544" s="307">
        <f t="shared" ca="1" si="247"/>
        <v>1210.3126251904898</v>
      </c>
      <c r="L544" s="304">
        <f t="shared" ca="1" si="232"/>
        <v>1439.321330229634</v>
      </c>
      <c r="M544" s="306">
        <f t="shared" ca="1" si="248"/>
        <v>-1.5305098472662446</v>
      </c>
      <c r="N544" s="304">
        <f t="shared" ca="1" si="249"/>
        <v>-87.691754751568055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1.7842999999999964</v>
      </c>
      <c r="T544" s="304">
        <f t="shared" ca="1" si="233"/>
        <v>17.503982999999966</v>
      </c>
      <c r="U544" s="311">
        <f t="shared" ca="1" si="234"/>
        <v>0</v>
      </c>
      <c r="V544" s="306">
        <f t="shared" ca="1" si="235"/>
        <v>1.085196971910966</v>
      </c>
      <c r="W544" s="304">
        <f t="shared" ca="1" si="236"/>
        <v>17.138276601234264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 t="e">
        <f t="shared" ca="1" si="257"/>
        <v>#N/A</v>
      </c>
      <c r="AD544" s="323" t="e">
        <f t="shared" ca="1" si="258"/>
        <v>#N/A</v>
      </c>
      <c r="AE544" s="324" t="e">
        <f t="shared" ca="1" si="237"/>
        <v>#N/A</v>
      </c>
      <c r="AG544" s="306">
        <f t="shared" ca="1" si="259"/>
        <v>0.21102821776826275</v>
      </c>
      <c r="AH544" s="304">
        <f t="shared" ca="1" si="260"/>
        <v>-9.5908661454957258</v>
      </c>
    </row>
    <row r="545" spans="1:34" x14ac:dyDescent="0.2">
      <c r="A545" s="347">
        <f t="shared" ca="1" si="238"/>
        <v>0.1</v>
      </c>
      <c r="B545" s="304">
        <f t="shared" ca="1" si="239"/>
        <v>46.800000000000381</v>
      </c>
      <c r="D545" s="306">
        <f t="shared" ca="1" si="240"/>
        <v>-0.38684866912131932</v>
      </c>
      <c r="E545" s="307">
        <f t="shared" ca="1" si="241"/>
        <v>-0.21275134955961228</v>
      </c>
      <c r="F545" s="304">
        <f t="shared" ca="1" si="242"/>
        <v>0.44149182273330084</v>
      </c>
      <c r="G545" s="306">
        <f t="shared" ca="1" si="243"/>
        <v>4.3298681380160478</v>
      </c>
      <c r="H545" s="307">
        <f t="shared" ca="1" si="244"/>
        <v>-108.39980342653426</v>
      </c>
      <c r="I545" s="304">
        <f t="shared" ca="1" si="245"/>
        <v>108.4862440174047</v>
      </c>
      <c r="J545" s="306">
        <f t="shared" ca="1" si="246"/>
        <v>779.40169888435867</v>
      </c>
      <c r="K545" s="307">
        <f t="shared" ca="1" si="247"/>
        <v>1199.4737086045841</v>
      </c>
      <c r="L545" s="304">
        <f t="shared" ca="1" si="232"/>
        <v>1430.4559363564679</v>
      </c>
      <c r="M545" s="306">
        <f t="shared" ca="1" si="248"/>
        <v>-1.5308740441104915</v>
      </c>
      <c r="N545" s="304">
        <f t="shared" ca="1" si="249"/>
        <v>-87.712621693655393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1.7842999999999964</v>
      </c>
      <c r="T545" s="304">
        <f t="shared" ca="1" si="233"/>
        <v>17.503982999999966</v>
      </c>
      <c r="U545" s="311">
        <f t="shared" ca="1" si="234"/>
        <v>0</v>
      </c>
      <c r="V545" s="306">
        <f t="shared" ca="1" si="235"/>
        <v>1.0863781348313171</v>
      </c>
      <c r="W545" s="304">
        <f t="shared" ca="1" si="236"/>
        <v>17.163165412163064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 t="e">
        <f t="shared" ca="1" si="237"/>
        <v>#N/A</v>
      </c>
      <c r="AG545" s="306">
        <f t="shared" ca="1" si="259"/>
        <v>0.19699816949310289</v>
      </c>
      <c r="AH545" s="304">
        <f t="shared" ca="1" si="260"/>
        <v>-9.6050420900265081</v>
      </c>
    </row>
    <row r="546" spans="1:34" x14ac:dyDescent="0.2">
      <c r="A546" s="347">
        <f t="shared" ca="1" si="238"/>
        <v>0.1</v>
      </c>
      <c r="B546" s="304">
        <f t="shared" ca="1" si="239"/>
        <v>46.900000000000382</v>
      </c>
      <c r="D546" s="306">
        <f t="shared" ca="1" si="240"/>
        <v>-0.38391007516166464</v>
      </c>
      <c r="E546" s="307">
        <f t="shared" ca="1" si="241"/>
        <v>-0.19867342965810764</v>
      </c>
      <c r="F546" s="304">
        <f t="shared" ca="1" si="242"/>
        <v>0.43227083808967504</v>
      </c>
      <c r="G546" s="306">
        <f t="shared" ca="1" si="243"/>
        <v>4.2914771304998816</v>
      </c>
      <c r="H546" s="307">
        <f t="shared" ca="1" si="244"/>
        <v>-108.41967076950007</v>
      </c>
      <c r="I546" s="304">
        <f t="shared" ca="1" si="245"/>
        <v>108.50457034488635</v>
      </c>
      <c r="J546" s="306">
        <f t="shared" ca="1" si="246"/>
        <v>779.83276614778447</v>
      </c>
      <c r="K546" s="307">
        <f t="shared" ca="1" si="247"/>
        <v>1188.6327348947823</v>
      </c>
      <c r="L546" s="304">
        <f t="shared" ca="1" si="232"/>
        <v>1421.6141957722407</v>
      </c>
      <c r="M546" s="306">
        <f t="shared" ca="1" si="248"/>
        <v>-1.5312348893517727</v>
      </c>
      <c r="N546" s="304">
        <f t="shared" ca="1" si="249"/>
        <v>-87.73329660303817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1.7842999999999964</v>
      </c>
      <c r="T546" s="304">
        <f t="shared" ca="1" si="233"/>
        <v>17.503982999999966</v>
      </c>
      <c r="U546" s="311">
        <f t="shared" ca="1" si="234"/>
        <v>0</v>
      </c>
      <c r="V546" s="306">
        <f t="shared" ca="1" si="235"/>
        <v>1.0875607307027271</v>
      </c>
      <c r="W546" s="304">
        <f t="shared" ca="1" si="236"/>
        <v>17.187654144634418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 t="e">
        <f t="shared" ca="1" si="237"/>
        <v>#N/A</v>
      </c>
      <c r="AG546" s="306">
        <f t="shared" ca="1" si="259"/>
        <v>0.18319263330307578</v>
      </c>
      <c r="AH546" s="304">
        <f t="shared" ca="1" si="260"/>
        <v>-9.6189908715816284</v>
      </c>
    </row>
    <row r="547" spans="1:34" x14ac:dyDescent="0.2">
      <c r="A547" s="347">
        <f t="shared" ca="1" si="238"/>
        <v>0.1</v>
      </c>
      <c r="B547" s="304">
        <f t="shared" ca="1" si="239"/>
        <v>47.000000000000384</v>
      </c>
      <c r="D547" s="306">
        <f t="shared" ca="1" si="240"/>
        <v>-0.38098467048901069</v>
      </c>
      <c r="E547" s="307">
        <f t="shared" ca="1" si="241"/>
        <v>-0.18482170204794457</v>
      </c>
      <c r="F547" s="304">
        <f t="shared" ca="1" si="242"/>
        <v>0.42344820308453224</v>
      </c>
      <c r="G547" s="306">
        <f t="shared" ca="1" si="243"/>
        <v>4.2533786634509809</v>
      </c>
      <c r="H547" s="307">
        <f t="shared" ca="1" si="244"/>
        <v>-108.43815293970486</v>
      </c>
      <c r="I547" s="304">
        <f t="shared" ca="1" si="245"/>
        <v>108.52153815270738</v>
      </c>
      <c r="J547" s="306">
        <f t="shared" ca="1" si="246"/>
        <v>780.26000893748198</v>
      </c>
      <c r="K547" s="307">
        <f t="shared" ca="1" si="247"/>
        <v>1177.789843709322</v>
      </c>
      <c r="L547" s="304">
        <f t="shared" ca="1" si="232"/>
        <v>1412.7967290066708</v>
      </c>
      <c r="M547" s="306">
        <f t="shared" ca="1" si="248"/>
        <v>-1.5315924188232029</v>
      </c>
      <c r="N547" s="304">
        <f t="shared" ca="1" si="249"/>
        <v>-87.753781532802662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1.7842999999999964</v>
      </c>
      <c r="T547" s="304">
        <f t="shared" ca="1" si="233"/>
        <v>17.503982999999966</v>
      </c>
      <c r="U547" s="311">
        <f t="shared" ca="1" si="234"/>
        <v>0</v>
      </c>
      <c r="V547" s="306">
        <f t="shared" ca="1" si="235"/>
        <v>1.0887447468133711</v>
      </c>
      <c r="W547" s="304">
        <f t="shared" ca="1" si="236"/>
        <v>17.211748006236363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>
        <f t="shared" ca="1" si="257"/>
        <v>47.000000000000384</v>
      </c>
      <c r="AD547" s="323">
        <f t="shared" ca="1" si="258"/>
        <v>780.26000893748198</v>
      </c>
      <c r="AE547" s="324" t="e">
        <f t="shared" ca="1" si="237"/>
        <v>#N/A</v>
      </c>
      <c r="AG547" s="306">
        <f t="shared" ca="1" si="259"/>
        <v>0.16960871812243816</v>
      </c>
      <c r="AH547" s="304">
        <f t="shared" ca="1" si="260"/>
        <v>-9.6327154316171342</v>
      </c>
    </row>
    <row r="548" spans="1:34" x14ac:dyDescent="0.2">
      <c r="A548" s="347">
        <f t="shared" ca="1" si="238"/>
        <v>0.1</v>
      </c>
      <c r="B548" s="304">
        <f t="shared" ca="1" si="239"/>
        <v>47.100000000000385</v>
      </c>
      <c r="D548" s="306">
        <f t="shared" ca="1" si="240"/>
        <v>-0.37807260615619032</v>
      </c>
      <c r="E548" s="307">
        <f t="shared" ca="1" si="241"/>
        <v>-0.1711932224688546</v>
      </c>
      <c r="F548" s="304">
        <f t="shared" ca="1" si="242"/>
        <v>0.41502531843853158</v>
      </c>
      <c r="G548" s="306">
        <f t="shared" ca="1" si="243"/>
        <v>4.2155714028353621</v>
      </c>
      <c r="H548" s="307">
        <f t="shared" ca="1" si="244"/>
        <v>-108.45527226195175</v>
      </c>
      <c r="I548" s="304">
        <f t="shared" ca="1" si="245"/>
        <v>108.53716931847119</v>
      </c>
      <c r="J548" s="306">
        <f t="shared" ca="1" si="246"/>
        <v>780.68345644079625</v>
      </c>
      <c r="K548" s="307">
        <f t="shared" ca="1" si="247"/>
        <v>1166.9451724492392</v>
      </c>
      <c r="L548" s="304">
        <f t="shared" ca="1" si="232"/>
        <v>1404.0041647598248</v>
      </c>
      <c r="M548" s="306">
        <f t="shared" ca="1" si="248"/>
        <v>-1.5319466678232825</v>
      </c>
      <c r="N548" s="304">
        <f t="shared" ca="1" si="249"/>
        <v>-87.774078505403963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1.7842999999999964</v>
      </c>
      <c r="T548" s="304">
        <f t="shared" ca="1" si="233"/>
        <v>17.503982999999966</v>
      </c>
      <c r="U548" s="311">
        <f t="shared" ca="1" si="234"/>
        <v>0</v>
      </c>
      <c r="V548" s="306">
        <f t="shared" ca="1" si="235"/>
        <v>1.0899301706406879</v>
      </c>
      <c r="W548" s="304">
        <f t="shared" ca="1" si="236"/>
        <v>17.235452163162609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 t="e">
        <f t="shared" ca="1" si="237"/>
        <v>#N/A</v>
      </c>
      <c r="AG548" s="306">
        <f t="shared" ca="1" si="259"/>
        <v>0.15624355471444673</v>
      </c>
      <c r="AH548" s="304">
        <f t="shared" ca="1" si="260"/>
        <v>-9.6462186886938284</v>
      </c>
    </row>
    <row r="549" spans="1:34" x14ac:dyDescent="0.2">
      <c r="A549" s="347">
        <f t="shared" ca="1" si="238"/>
        <v>0.1</v>
      </c>
      <c r="B549" s="304">
        <f t="shared" ca="1" si="239"/>
        <v>47.200000000000387</v>
      </c>
      <c r="D549" s="306">
        <f t="shared" ca="1" si="240"/>
        <v>-0.37517402689606189</v>
      </c>
      <c r="E549" s="307">
        <f t="shared" ca="1" si="241"/>
        <v>-0.1577850700719825</v>
      </c>
      <c r="F549" s="304">
        <f t="shared" ca="1" si="242"/>
        <v>0.40700329088967746</v>
      </c>
      <c r="G549" s="306">
        <f t="shared" ca="1" si="243"/>
        <v>4.1780540001457558</v>
      </c>
      <c r="H549" s="307">
        <f t="shared" ca="1" si="244"/>
        <v>-108.47105076895895</v>
      </c>
      <c r="I549" s="304">
        <f t="shared" ca="1" si="245"/>
        <v>108.55148543502389</v>
      </c>
      <c r="J549" s="306">
        <f t="shared" ca="1" si="246"/>
        <v>781.10313771094536</v>
      </c>
      <c r="K549" s="307">
        <f t="shared" ca="1" si="247"/>
        <v>1156.0988562976936</v>
      </c>
      <c r="L549" s="304">
        <f t="shared" ca="1" si="232"/>
        <v>1395.2371401574426</v>
      </c>
      <c r="M549" s="306">
        <f t="shared" ca="1" si="248"/>
        <v>-1.5322976711271801</v>
      </c>
      <c r="N549" s="304">
        <f t="shared" ca="1" si="249"/>
        <v>-87.794189513312432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1.7842999999999964</v>
      </c>
      <c r="T549" s="304">
        <f t="shared" ca="1" si="233"/>
        <v>17.503982999999966</v>
      </c>
      <c r="U549" s="311">
        <f t="shared" ca="1" si="234"/>
        <v>0</v>
      </c>
      <c r="V549" s="306">
        <f t="shared" ca="1" si="235"/>
        <v>1.0911169898491853</v>
      </c>
      <c r="W549" s="304">
        <f t="shared" ca="1" si="236"/>
        <v>17.258771739707267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 t="e">
        <f t="shared" ca="1" si="237"/>
        <v>#N/A</v>
      </c>
      <c r="AG549" s="306">
        <f t="shared" ca="1" si="259"/>
        <v>0.1430942960110464</v>
      </c>
      <c r="AH549" s="304">
        <f t="shared" ca="1" si="260"/>
        <v>-9.659503538173313</v>
      </c>
    </row>
    <row r="550" spans="1:34" x14ac:dyDescent="0.2">
      <c r="A550" s="347">
        <f t="shared" ca="1" si="238"/>
        <v>0.1</v>
      </c>
      <c r="B550" s="304">
        <f t="shared" ca="1" si="239"/>
        <v>47.300000000000388</v>
      </c>
      <c r="D550" s="306">
        <f t="shared" ca="1" si="240"/>
        <v>-0.37228907125289734</v>
      </c>
      <c r="E550" s="307">
        <f t="shared" ca="1" si="241"/>
        <v>-0.14459434770520474</v>
      </c>
      <c r="F550" s="304">
        <f t="shared" ca="1" si="242"/>
        <v>0.39938287139365219</v>
      </c>
      <c r="G550" s="306">
        <f t="shared" ca="1" si="243"/>
        <v>4.1408250930204664</v>
      </c>
      <c r="H550" s="307">
        <f t="shared" ca="1" si="244"/>
        <v>-108.48551020372946</v>
      </c>
      <c r="I550" s="304">
        <f t="shared" ca="1" si="245"/>
        <v>108.56450781270311</v>
      </c>
      <c r="J550" s="306">
        <f t="shared" ca="1" si="246"/>
        <v>781.51908166560372</v>
      </c>
      <c r="K550" s="307">
        <f t="shared" ca="1" si="247"/>
        <v>1145.2510282490591</v>
      </c>
      <c r="L550" s="304">
        <f t="shared" ca="1" si="232"/>
        <v>1386.4963010094818</v>
      </c>
      <c r="M550" s="306">
        <f t="shared" ca="1" si="248"/>
        <v>-1.5326454629977229</v>
      </c>
      <c r="N550" s="304">
        <f t="shared" ca="1" si="249"/>
        <v>-87.814116519643505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1.7842999999999964</v>
      </c>
      <c r="T550" s="304">
        <f t="shared" ca="1" si="233"/>
        <v>17.503982999999966</v>
      </c>
      <c r="U550" s="311">
        <f t="shared" ca="1" si="234"/>
        <v>0</v>
      </c>
      <c r="V550" s="306">
        <f t="shared" ca="1" si="235"/>
        <v>1.0923051922882501</v>
      </c>
      <c r="W550" s="304">
        <f t="shared" ca="1" si="236"/>
        <v>17.281711817795021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 t="e">
        <f t="shared" ca="1" si="237"/>
        <v>#N/A</v>
      </c>
      <c r="AG550" s="306">
        <f t="shared" ca="1" si="259"/>
        <v>0.13015811742101135</v>
      </c>
      <c r="AH550" s="304">
        <f t="shared" ca="1" si="260"/>
        <v>-9.672572851934822</v>
      </c>
    </row>
    <row r="551" spans="1:34" x14ac:dyDescent="0.2">
      <c r="A551" s="347">
        <f t="shared" ca="1" si="238"/>
        <v>0.1</v>
      </c>
      <c r="B551" s="304">
        <f t="shared" ca="1" si="239"/>
        <v>47.400000000000389</v>
      </c>
      <c r="D551" s="306">
        <f t="shared" ca="1" si="240"/>
        <v>-0.36941787171214974</v>
      </c>
      <c r="E551" s="307">
        <f t="shared" ca="1" si="241"/>
        <v>-0.13161818217846211</v>
      </c>
      <c r="F551" s="304">
        <f t="shared" ca="1" si="242"/>
        <v>0.3921643913211616</v>
      </c>
      <c r="G551" s="306">
        <f t="shared" ca="1" si="243"/>
        <v>4.1038833058492514</v>
      </c>
      <c r="H551" s="307">
        <f t="shared" ca="1" si="244"/>
        <v>-108.49867202194731</v>
      </c>
      <c r="I551" s="304">
        <f t="shared" ca="1" si="245"/>
        <v>108.57625748161576</v>
      </c>
      <c r="J551" s="306">
        <f t="shared" ca="1" si="246"/>
        <v>781.93131708554722</v>
      </c>
      <c r="K551" s="307">
        <f t="shared" ca="1" si="247"/>
        <v>1134.4018191377752</v>
      </c>
      <c r="L551" s="304">
        <f t="shared" ca="1" si="232"/>
        <v>1377.7823020717867</v>
      </c>
      <c r="M551" s="306">
        <f t="shared" ca="1" si="248"/>
        <v>-1.5329900771961056</v>
      </c>
      <c r="N551" s="304">
        <f t="shared" ca="1" si="249"/>
        <v>-87.833861458771111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1.7842999999999964</v>
      </c>
      <c r="T551" s="304">
        <f t="shared" ca="1" si="233"/>
        <v>17.503982999999966</v>
      </c>
      <c r="U551" s="311">
        <f t="shared" ca="1" si="234"/>
        <v>0</v>
      </c>
      <c r="V551" s="306">
        <f t="shared" ca="1" si="235"/>
        <v>1.0934947659899779</v>
      </c>
      <c r="W551" s="304">
        <f t="shared" ca="1" si="236"/>
        <v>17.304277436546162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 t="e">
        <f t="shared" ca="1" si="237"/>
        <v>#N/A</v>
      </c>
      <c r="AG551" s="306">
        <f t="shared" ca="1" si="259"/>
        <v>0.1174322171175568</v>
      </c>
      <c r="AH551" s="304">
        <f t="shared" ca="1" si="260"/>
        <v>-9.6854294781118959</v>
      </c>
    </row>
    <row r="552" spans="1:34" x14ac:dyDescent="0.2">
      <c r="A552" s="347">
        <f t="shared" ca="1" si="238"/>
        <v>0.1</v>
      </c>
      <c r="B552" s="304">
        <f t="shared" ca="1" si="239"/>
        <v>47.500000000000391</v>
      </c>
      <c r="D552" s="306">
        <f t="shared" ca="1" si="240"/>
        <v>-0.36656055482858013</v>
      </c>
      <c r="E552" s="307">
        <f t="shared" ca="1" si="241"/>
        <v>-0.11885372450934995</v>
      </c>
      <c r="F552" s="304">
        <f t="shared" ca="1" si="242"/>
        <v>0.38534769778212108</v>
      </c>
      <c r="G552" s="306">
        <f t="shared" ca="1" si="243"/>
        <v>4.0672272503663933</v>
      </c>
      <c r="H552" s="307">
        <f t="shared" ca="1" si="244"/>
        <v>-108.51055739439825</v>
      </c>
      <c r="I552" s="304">
        <f t="shared" ca="1" si="245"/>
        <v>108.58675519394214</v>
      </c>
      <c r="J552" s="306">
        <f t="shared" ca="1" si="246"/>
        <v>782.33987261335801</v>
      </c>
      <c r="K552" s="307">
        <f t="shared" ca="1" si="247"/>
        <v>1123.551357666958</v>
      </c>
      <c r="L552" s="304">
        <f t="shared" ca="1" si="232"/>
        <v>1369.0958073107774</v>
      </c>
      <c r="M552" s="306">
        <f t="shared" ca="1" si="248"/>
        <v>-1.5333315469923212</v>
      </c>
      <c r="N552" s="304">
        <f t="shared" ca="1" si="249"/>
        <v>-87.853426236925458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1.7842999999999964</v>
      </c>
      <c r="T552" s="304">
        <f t="shared" ca="1" si="233"/>
        <v>17.503982999999966</v>
      </c>
      <c r="U552" s="311">
        <f t="shared" ca="1" si="234"/>
        <v>0</v>
      </c>
      <c r="V552" s="306">
        <f t="shared" ca="1" si="235"/>
        <v>1.0946856991670137</v>
      </c>
      <c r="W552" s="304">
        <f t="shared" ca="1" si="236"/>
        <v>17.32647359187504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 t="e">
        <f t="shared" ca="1" si="237"/>
        <v>#N/A</v>
      </c>
      <c r="AG552" s="306">
        <f t="shared" ca="1" si="259"/>
        <v>0.10491381630566821</v>
      </c>
      <c r="AH552" s="304">
        <f t="shared" ca="1" si="260"/>
        <v>-9.6980762408486214</v>
      </c>
    </row>
    <row r="553" spans="1:34" x14ac:dyDescent="0.2">
      <c r="A553" s="347">
        <f t="shared" ca="1" si="238"/>
        <v>0.1</v>
      </c>
      <c r="B553" s="304">
        <f t="shared" ca="1" si="239"/>
        <v>47.600000000000392</v>
      </c>
      <c r="D553" s="306">
        <f t="shared" ca="1" si="240"/>
        <v>-0.36371724135276351</v>
      </c>
      <c r="E553" s="307">
        <f t="shared" ca="1" si="241"/>
        <v>-0.10629815014984878</v>
      </c>
      <c r="F553" s="304">
        <f t="shared" ca="1" si="242"/>
        <v>0.37893208940725015</v>
      </c>
      <c r="G553" s="306">
        <f t="shared" ca="1" si="243"/>
        <v>4.0308555262311172</v>
      </c>
      <c r="H553" s="307">
        <f t="shared" ca="1" si="244"/>
        <v>-108.52118720941323</v>
      </c>
      <c r="I553" s="304">
        <f t="shared" ca="1" si="245"/>
        <v>108.59602142626525</v>
      </c>
      <c r="J553" s="306">
        <f t="shared" ca="1" si="246"/>
        <v>782.74477675218793</v>
      </c>
      <c r="K553" s="307">
        <f t="shared" ca="1" si="247"/>
        <v>1112.6997704367675</v>
      </c>
      <c r="L553" s="304">
        <f t="shared" ca="1" si="232"/>
        <v>1360.437490171036</v>
      </c>
      <c r="M553" s="306">
        <f t="shared" ca="1" si="248"/>
        <v>-1.5336699051753264</v>
      </c>
      <c r="N553" s="304">
        <f t="shared" ca="1" si="249"/>
        <v>-87.872812732775373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1.7842999999999964</v>
      </c>
      <c r="T553" s="304">
        <f t="shared" ca="1" si="233"/>
        <v>17.503982999999966</v>
      </c>
      <c r="U553" s="311">
        <f t="shared" ca="1" si="234"/>
        <v>0</v>
      </c>
      <c r="V553" s="306">
        <f t="shared" ca="1" si="235"/>
        <v>1.0958779802104066</v>
      </c>
      <c r="W553" s="304">
        <f t="shared" ca="1" si="236"/>
        <v>17.348305236121128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 t="e">
        <f t="shared" ca="1" si="237"/>
        <v>#N/A</v>
      </c>
      <c r="AG553" s="306">
        <f t="shared" ca="1" si="259"/>
        <v>9.2600159470059396E-2</v>
      </c>
      <c r="AH553" s="304">
        <f t="shared" ca="1" si="260"/>
        <v>-9.7105159400745809</v>
      </c>
    </row>
    <row r="554" spans="1:34" x14ac:dyDescent="0.2">
      <c r="A554" s="347">
        <f t="shared" ca="1" si="238"/>
        <v>0.1</v>
      </c>
      <c r="B554" s="304">
        <f t="shared" ca="1" si="239"/>
        <v>47.700000000000394</v>
      </c>
      <c r="D554" s="306">
        <f t="shared" ca="1" si="240"/>
        <v>-0.36088804635592314</v>
      </c>
      <c r="E554" s="307">
        <f t="shared" ca="1" si="241"/>
        <v>-9.3948659194619921E-2</v>
      </c>
      <c r="F554" s="304">
        <f t="shared" ca="1" si="242"/>
        <v>0.37291625409341139</v>
      </c>
      <c r="G554" s="306">
        <f t="shared" ca="1" si="243"/>
        <v>3.9947667215955249</v>
      </c>
      <c r="H554" s="307">
        <f t="shared" ca="1" si="244"/>
        <v>-108.53058207533269</v>
      </c>
      <c r="I554" s="304">
        <f t="shared" ca="1" si="245"/>
        <v>108.60407638192267</v>
      </c>
      <c r="J554" s="306">
        <f t="shared" ca="1" si="246"/>
        <v>783.14605786457923</v>
      </c>
      <c r="K554" s="307">
        <f t="shared" ca="1" si="247"/>
        <v>1101.8471819725303</v>
      </c>
      <c r="L554" s="304">
        <f t="shared" ca="1" si="232"/>
        <v>1351.8080338456482</v>
      </c>
      <c r="M554" s="306">
        <f t="shared" ca="1" si="248"/>
        <v>-1.5340051840629463</v>
      </c>
      <c r="N554" s="304">
        <f t="shared" ca="1" si="249"/>
        <v>-87.892022797995836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1.7842999999999964</v>
      </c>
      <c r="T554" s="304">
        <f t="shared" ca="1" si="233"/>
        <v>17.503982999999966</v>
      </c>
      <c r="U554" s="311">
        <f t="shared" ca="1" si="234"/>
        <v>0</v>
      </c>
      <c r="V554" s="306">
        <f t="shared" ca="1" si="235"/>
        <v>1.0970715976874801</v>
      </c>
      <c r="W554" s="304">
        <f t="shared" ca="1" si="236"/>
        <v>17.369777277711691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 t="e">
        <f t="shared" ca="1" si="257"/>
        <v>#N/A</v>
      </c>
      <c r="AD554" s="323" t="e">
        <f t="shared" ca="1" si="258"/>
        <v>#N/A</v>
      </c>
      <c r="AE554" s="324" t="e">
        <f t="shared" ca="1" si="237"/>
        <v>#N/A</v>
      </c>
      <c r="AG554" s="306">
        <f t="shared" ca="1" si="259"/>
        <v>8.0488514604221351E-2</v>
      </c>
      <c r="AH554" s="304">
        <f t="shared" ca="1" si="260"/>
        <v>-9.7227513512980792</v>
      </c>
    </row>
    <row r="555" spans="1:34" x14ac:dyDescent="0.2">
      <c r="A555" s="347">
        <f t="shared" ca="1" si="238"/>
        <v>0.1</v>
      </c>
      <c r="B555" s="304">
        <f t="shared" ca="1" si="239"/>
        <v>47.800000000000395</v>
      </c>
      <c r="D555" s="306">
        <f t="shared" ca="1" si="240"/>
        <v>-0.35807307935311439</v>
      </c>
      <c r="E555" s="307">
        <f t="shared" ca="1" si="241"/>
        <v>-8.1802476571439797E-2</v>
      </c>
      <c r="F555" s="304">
        <f t="shared" ca="1" si="242"/>
        <v>0.36729821035589422</v>
      </c>
      <c r="G555" s="306">
        <f t="shared" ca="1" si="243"/>
        <v>3.9589594136602133</v>
      </c>
      <c r="H555" s="307">
        <f t="shared" ca="1" si="244"/>
        <v>-108.53876232298984</v>
      </c>
      <c r="I555" s="304">
        <f t="shared" ca="1" si="245"/>
        <v>108.61093999337953</v>
      </c>
      <c r="J555" s="306">
        <f t="shared" ca="1" si="246"/>
        <v>783.54374417134204</v>
      </c>
      <c r="K555" s="307">
        <f t="shared" ca="1" si="247"/>
        <v>1090.9937147526141</v>
      </c>
      <c r="L555" s="304">
        <f t="shared" ca="1" si="232"/>
        <v>1343.2081315491482</v>
      </c>
      <c r="M555" s="306">
        <f t="shared" ca="1" si="248"/>
        <v>-1.534337415511527</v>
      </c>
      <c r="N555" s="304">
        <f t="shared" ca="1" si="249"/>
        <v>-87.911058257821026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1.7842999999999964</v>
      </c>
      <c r="T555" s="304">
        <f t="shared" ca="1" si="233"/>
        <v>17.503982999999966</v>
      </c>
      <c r="U555" s="311">
        <f t="shared" ca="1" si="234"/>
        <v>0</v>
      </c>
      <c r="V555" s="306">
        <f t="shared" ca="1" si="235"/>
        <v>1.098266540339716</v>
      </c>
      <c r="W555" s="304">
        <f t="shared" ca="1" si="236"/>
        <v>17.390894580854919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 t="e">
        <f t="shared" ca="1" si="237"/>
        <v>#N/A</v>
      </c>
      <c r="AG555" s="306">
        <f t="shared" ca="1" si="259"/>
        <v>6.8576173421082132E-2</v>
      </c>
      <c r="AH555" s="304">
        <f t="shared" ca="1" si="260"/>
        <v>-9.734785225417097</v>
      </c>
    </row>
    <row r="556" spans="1:34" x14ac:dyDescent="0.2">
      <c r="A556" s="347">
        <f t="shared" ca="1" si="238"/>
        <v>0.1</v>
      </c>
      <c r="B556" s="304">
        <f t="shared" ca="1" si="239"/>
        <v>47.900000000000396</v>
      </c>
      <c r="D556" s="306">
        <f t="shared" ca="1" si="240"/>
        <v>-0.3552724444247341</v>
      </c>
      <c r="E556" s="307">
        <f t="shared" ca="1" si="241"/>
        <v>-6.9856852214419618E-2</v>
      </c>
      <c r="F556" s="304">
        <f t="shared" ca="1" si="242"/>
        <v>0.3620752540133515</v>
      </c>
      <c r="G556" s="306">
        <f t="shared" ca="1" si="243"/>
        <v>3.9234321692177399</v>
      </c>
      <c r="H556" s="307">
        <f t="shared" ca="1" si="244"/>
        <v>-108.54574800821128</v>
      </c>
      <c r="I556" s="304">
        <f t="shared" ca="1" si="245"/>
        <v>108.6166319246208</v>
      </c>
      <c r="J556" s="306">
        <f t="shared" ca="1" si="246"/>
        <v>783.93786375048592</v>
      </c>
      <c r="K556" s="307">
        <f t="shared" ca="1" si="247"/>
        <v>1080.139489236054</v>
      </c>
      <c r="L556" s="304">
        <f t="shared" ca="1" si="232"/>
        <v>1334.6384867928839</v>
      </c>
      <c r="M556" s="306">
        <f t="shared" ca="1" si="248"/>
        <v>-1.5346666309253449</v>
      </c>
      <c r="N556" s="304">
        <f t="shared" ca="1" si="249"/>
        <v>-87.929920911583451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1.7842999999999964</v>
      </c>
      <c r="T556" s="304">
        <f t="shared" ca="1" si="233"/>
        <v>17.503982999999966</v>
      </c>
      <c r="U556" s="311">
        <f t="shared" ca="1" si="234"/>
        <v>0</v>
      </c>
      <c r="V556" s="306">
        <f t="shared" ca="1" si="235"/>
        <v>1.0994627970806548</v>
      </c>
      <c r="W556" s="304">
        <f t="shared" ca="1" si="236"/>
        <v>17.411661965262724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 t="e">
        <f t="shared" ca="1" si="237"/>
        <v>#N/A</v>
      </c>
      <c r="AG556" s="306">
        <f t="shared" ca="1" si="259"/>
        <v>5.6860451546043578E-2</v>
      </c>
      <c r="AH556" s="304">
        <f t="shared" ca="1" si="260"/>
        <v>-9.7466202885473034</v>
      </c>
    </row>
    <row r="557" spans="1:34" x14ac:dyDescent="0.2">
      <c r="A557" s="347">
        <f t="shared" ca="1" si="238"/>
        <v>0.1</v>
      </c>
      <c r="B557" s="304">
        <f t="shared" ca="1" si="239"/>
        <v>48.000000000000398</v>
      </c>
      <c r="D557" s="306">
        <f t="shared" ca="1" si="240"/>
        <v>-0.35248624033634446</v>
      </c>
      <c r="E557" s="307">
        <f t="shared" ca="1" si="241"/>
        <v>-5.8109061220461555E-2</v>
      </c>
      <c r="F557" s="304">
        <f t="shared" ca="1" si="242"/>
        <v>0.35724391194585042</v>
      </c>
      <c r="G557" s="306">
        <f t="shared" ca="1" si="243"/>
        <v>3.8881835451841056</v>
      </c>
      <c r="H557" s="307">
        <f t="shared" ca="1" si="244"/>
        <v>-108.55155891433333</v>
      </c>
      <c r="I557" s="304">
        <f t="shared" ca="1" si="245"/>
        <v>108.6211715735612</v>
      </c>
      <c r="J557" s="306">
        <f t="shared" ca="1" si="246"/>
        <v>784.32844453620601</v>
      </c>
      <c r="K557" s="307">
        <f t="shared" ca="1" si="247"/>
        <v>1069.2846238899267</v>
      </c>
      <c r="L557" s="304">
        <f t="shared" ca="1" si="232"/>
        <v>1326.099813662609</v>
      </c>
      <c r="M557" s="306">
        <f t="shared" ca="1" si="248"/>
        <v>-1.5349928612657751</v>
      </c>
      <c r="N557" s="304">
        <f t="shared" ca="1" si="249"/>
        <v>-87.948612533239213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1.7842999999999964</v>
      </c>
      <c r="T557" s="304">
        <f t="shared" ca="1" si="233"/>
        <v>17.503982999999966</v>
      </c>
      <c r="U557" s="311">
        <f t="shared" ca="1" si="234"/>
        <v>0</v>
      </c>
      <c r="V557" s="306">
        <f t="shared" ca="1" si="235"/>
        <v>1.1006603569938085</v>
      </c>
      <c r="W557" s="304">
        <f t="shared" ca="1" si="236"/>
        <v>17.432084205902139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>
        <f t="shared" ca="1" si="257"/>
        <v>48.000000000000398</v>
      </c>
      <c r="AD557" s="323">
        <f t="shared" ca="1" si="258"/>
        <v>784.32844453620601</v>
      </c>
      <c r="AE557" s="324" t="e">
        <f t="shared" ca="1" si="237"/>
        <v>#N/A</v>
      </c>
      <c r="AG557" s="306">
        <f t="shared" ca="1" si="259"/>
        <v>4.5338688692771356E-2</v>
      </c>
      <c r="AH557" s="304">
        <f t="shared" ca="1" si="260"/>
        <v>-9.7582592418667033</v>
      </c>
    </row>
    <row r="558" spans="1:34" x14ac:dyDescent="0.2">
      <c r="A558" s="347">
        <f t="shared" ca="1" si="238"/>
        <v>0.1</v>
      </c>
      <c r="B558" s="304">
        <f t="shared" ca="1" si="239"/>
        <v>48.100000000000399</v>
      </c>
      <c r="D558" s="306">
        <f t="shared" ca="1" si="240"/>
        <v>-0.3497145606568372</v>
      </c>
      <c r="E558" s="307">
        <f t="shared" ca="1" si="241"/>
        <v>-4.655640398955363E-2</v>
      </c>
      <c r="F558" s="304">
        <f t="shared" ca="1" si="242"/>
        <v>0.35279990460293947</v>
      </c>
      <c r="G558" s="306">
        <f t="shared" ca="1" si="243"/>
        <v>3.8532120891184221</v>
      </c>
      <c r="H558" s="307">
        <f t="shared" ca="1" si="244"/>
        <v>-108.55621455473228</v>
      </c>
      <c r="I558" s="304">
        <f t="shared" ca="1" si="245"/>
        <v>108.62457807447078</v>
      </c>
      <c r="J558" s="306">
        <f t="shared" ca="1" si="246"/>
        <v>784.71551431792113</v>
      </c>
      <c r="K558" s="307">
        <f t="shared" ca="1" si="247"/>
        <v>1058.4292352164734</v>
      </c>
      <c r="L558" s="304">
        <f t="shared" ca="1" si="232"/>
        <v>1317.5928370980803</v>
      </c>
      <c r="M558" s="306">
        <f t="shared" ca="1" si="248"/>
        <v>-1.5353161370602308</v>
      </c>
      <c r="N558" s="304">
        <f t="shared" ca="1" si="249"/>
        <v>-87.967134871880262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1.7842999999999964</v>
      </c>
      <c r="T558" s="304">
        <f t="shared" ca="1" si="233"/>
        <v>17.503982999999966</v>
      </c>
      <c r="U558" s="311">
        <f t="shared" ca="1" si="234"/>
        <v>0</v>
      </c>
      <c r="V558" s="306">
        <f t="shared" ca="1" si="235"/>
        <v>1.1018592093305908</v>
      </c>
      <c r="W558" s="304">
        <f t="shared" ca="1" si="236"/>
        <v>17.452166032774429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 t="e">
        <f t="shared" ca="1" si="237"/>
        <v>#N/A</v>
      </c>
      <c r="AG558" s="306">
        <f t="shared" ca="1" si="259"/>
        <v>3.4008248822400944E-2</v>
      </c>
      <c r="AH558" s="304">
        <f t="shared" ca="1" si="260"/>
        <v>-9.7697047614763068</v>
      </c>
    </row>
    <row r="559" spans="1:34" x14ac:dyDescent="0.2">
      <c r="A559" s="347">
        <f t="shared" ca="1" si="238"/>
        <v>0.1</v>
      </c>
      <c r="B559" s="304">
        <f t="shared" ca="1" si="239"/>
        <v>48.200000000000401</v>
      </c>
      <c r="D559" s="306">
        <f t="shared" ca="1" si="240"/>
        <v>-0.34695749387489211</v>
      </c>
      <c r="E559" s="307">
        <f t="shared" ca="1" si="241"/>
        <v>-3.5196206349402459E-2</v>
      </c>
      <c r="F559" s="304">
        <f t="shared" ca="1" si="242"/>
        <v>0.34873811879021127</v>
      </c>
      <c r="G559" s="306">
        <f t="shared" ca="1" si="243"/>
        <v>3.818516339730933</v>
      </c>
      <c r="H559" s="307">
        <f t="shared" ca="1" si="244"/>
        <v>-108.55973417536723</v>
      </c>
      <c r="I559" s="304">
        <f t="shared" ca="1" si="245"/>
        <v>108.62687030041502</v>
      </c>
      <c r="J559" s="306">
        <f t="shared" ca="1" si="246"/>
        <v>785.09910073936362</v>
      </c>
      <c r="K559" s="307">
        <f t="shared" ca="1" si="247"/>
        <v>1047.5734377799686</v>
      </c>
      <c r="L559" s="304">
        <f t="shared" ca="1" si="232"/>
        <v>1309.1182931744172</v>
      </c>
      <c r="M559" s="306">
        <f t="shared" ca="1" si="248"/>
        <v>-1.5356364884108789</v>
      </c>
      <c r="N559" s="304">
        <f t="shared" ca="1" si="249"/>
        <v>-87.98548965223371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1.7842999999999964</v>
      </c>
      <c r="T559" s="304">
        <f t="shared" ca="1" si="233"/>
        <v>17.503982999999966</v>
      </c>
      <c r="U559" s="311">
        <f t="shared" ca="1" si="234"/>
        <v>0</v>
      </c>
      <c r="V559" s="306">
        <f t="shared" ca="1" si="235"/>
        <v>1.1030593435082638</v>
      </c>
      <c r="W559" s="304">
        <f t="shared" ca="1" si="236"/>
        <v>17.471912130721037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 t="e">
        <f t="shared" ca="1" si="237"/>
        <v>#N/A</v>
      </c>
      <c r="AG559" s="306">
        <f t="shared" ca="1" si="259"/>
        <v>2.2866520286658698E-2</v>
      </c>
      <c r="AH559" s="304">
        <f t="shared" ca="1" si="260"/>
        <v>-9.780959498276335</v>
      </c>
    </row>
    <row r="560" spans="1:34" x14ac:dyDescent="0.2">
      <c r="A560" s="347">
        <f t="shared" ca="1" si="238"/>
        <v>0.1</v>
      </c>
      <c r="B560" s="304">
        <f t="shared" ca="1" si="239"/>
        <v>48.300000000000402</v>
      </c>
      <c r="D560" s="306">
        <f t="shared" ca="1" si="240"/>
        <v>-0.34421512351375577</v>
      </c>
      <c r="E560" s="307">
        <f t="shared" ca="1" si="241"/>
        <v>-2.4025819664911907E-2</v>
      </c>
      <c r="F560" s="304">
        <f t="shared" ca="1" si="242"/>
        <v>0.34505259202933253</v>
      </c>
      <c r="G560" s="306">
        <f t="shared" ca="1" si="243"/>
        <v>3.7840948273795574</v>
      </c>
      <c r="H560" s="307">
        <f t="shared" ca="1" si="244"/>
        <v>-108.56213675733372</v>
      </c>
      <c r="I560" s="304">
        <f t="shared" ca="1" si="245"/>
        <v>108.62806686570754</v>
      </c>
      <c r="J560" s="306">
        <f t="shared" ca="1" si="246"/>
        <v>785.47923129771914</v>
      </c>
      <c r="K560" s="307">
        <f t="shared" ca="1" si="247"/>
        <v>1036.7173442333335</v>
      </c>
      <c r="L560" s="304">
        <f t="shared" ca="1" si="232"/>
        <v>1300.6769293849538</v>
      </c>
      <c r="M560" s="306">
        <f t="shared" ca="1" si="248"/>
        <v>-1.5359539450031348</v>
      </c>
      <c r="N560" s="304">
        <f t="shared" ca="1" si="249"/>
        <v>-88.003678575148584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1.7842999999999964</v>
      </c>
      <c r="T560" s="304">
        <f t="shared" ca="1" si="233"/>
        <v>17.503982999999966</v>
      </c>
      <c r="U560" s="311">
        <f t="shared" ca="1" si="234"/>
        <v>0</v>
      </c>
      <c r="V560" s="306">
        <f t="shared" ca="1" si="235"/>
        <v>1.104260749107896</v>
      </c>
      <c r="W560" s="304">
        <f t="shared" ca="1" si="236"/>
        <v>17.491327139255326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 t="e">
        <f t="shared" ca="1" si="237"/>
        <v>#N/A</v>
      </c>
      <c r="AG560" s="306">
        <f t="shared" ca="1" si="259"/>
        <v>1.1910915955418488E-2</v>
      </c>
      <c r="AH560" s="304">
        <f t="shared" ca="1" si="260"/>
        <v>-9.7920260778574626</v>
      </c>
    </row>
    <row r="561" spans="1:34" x14ac:dyDescent="0.2">
      <c r="A561" s="347">
        <f t="shared" ca="1" si="238"/>
        <v>0.1</v>
      </c>
      <c r="B561" s="304">
        <f t="shared" ca="1" si="239"/>
        <v>48.400000000000404</v>
      </c>
      <c r="D561" s="306">
        <f t="shared" ca="1" si="240"/>
        <v>-0.34148752824433287</v>
      </c>
      <c r="E561" s="307">
        <f t="shared" ca="1" si="241"/>
        <v>-1.3042620933058302E-2</v>
      </c>
      <c r="F561" s="304">
        <f t="shared" ca="1" si="242"/>
        <v>0.34173650947364037</v>
      </c>
      <c r="G561" s="306">
        <f t="shared" ca="1" si="243"/>
        <v>3.7499460745551243</v>
      </c>
      <c r="H561" s="307">
        <f t="shared" ca="1" si="244"/>
        <v>-108.56344101942702</v>
      </c>
      <c r="I561" s="304">
        <f t="shared" ca="1" si="245"/>
        <v>108.62818612837407</v>
      </c>
      <c r="J561" s="306">
        <f t="shared" ca="1" si="246"/>
        <v>785.85593334281589</v>
      </c>
      <c r="K561" s="307">
        <f t="shared" ca="1" si="247"/>
        <v>1025.8610653444955</v>
      </c>
      <c r="L561" s="304">
        <f t="shared" ca="1" si="232"/>
        <v>1292.2695049252891</v>
      </c>
      <c r="M561" s="306">
        <f t="shared" ca="1" si="248"/>
        <v>-1.5362685361139472</v>
      </c>
      <c r="N561" s="304">
        <f t="shared" ca="1" si="249"/>
        <v>-88.021703318070465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1.7842999999999964</v>
      </c>
      <c r="T561" s="304">
        <f t="shared" ca="1" si="233"/>
        <v>17.503982999999966</v>
      </c>
      <c r="U561" s="311">
        <f t="shared" ca="1" si="234"/>
        <v>0</v>
      </c>
      <c r="V561" s="306">
        <f t="shared" ca="1" si="235"/>
        <v>1.1054634158723413</v>
      </c>
      <c r="W561" s="304">
        <f t="shared" ca="1" si="236"/>
        <v>17.510415652419496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 t="e">
        <f t="shared" ca="1" si="237"/>
        <v>#N/A</v>
      </c>
      <c r="AG561" s="306">
        <f t="shared" ca="1" si="259"/>
        <v>1.1388733292818642E-3</v>
      </c>
      <c r="AH561" s="304">
        <f t="shared" ca="1" si="260"/>
        <v>-9.8029071004065234</v>
      </c>
    </row>
    <row r="562" spans="1:34" x14ac:dyDescent="0.2">
      <c r="A562" s="347">
        <f t="shared" ca="1" si="238"/>
        <v>0.1</v>
      </c>
      <c r="B562" s="304">
        <f t="shared" ca="1" si="239"/>
        <v>48.500000000000405</v>
      </c>
      <c r="D562" s="306">
        <f t="shared" ca="1" si="240"/>
        <v>-0.33877478199659683</v>
      </c>
      <c r="E562" s="307">
        <f t="shared" ca="1" si="241"/>
        <v>-2.2440128635778933E-3</v>
      </c>
      <c r="F562" s="304">
        <f t="shared" ca="1" si="242"/>
        <v>0.33878221398204128</v>
      </c>
      <c r="G562" s="306">
        <f t="shared" ca="1" si="243"/>
        <v>3.7160685963554645</v>
      </c>
      <c r="H562" s="307">
        <f t="shared" ca="1" si="244"/>
        <v>-108.56366542071338</v>
      </c>
      <c r="I562" s="304">
        <f t="shared" ca="1" si="245"/>
        <v>108.62724619262617</v>
      </c>
      <c r="J562" s="306">
        <f t="shared" ca="1" si="246"/>
        <v>786.22923407636142</v>
      </c>
      <c r="K562" s="307">
        <f t="shared" ca="1" si="247"/>
        <v>1015.0047100224884</v>
      </c>
      <c r="L562" s="304">
        <f t="shared" ca="1" si="232"/>
        <v>1283.896790978207</v>
      </c>
      <c r="M562" s="306">
        <f t="shared" ca="1" si="248"/>
        <v>-1.5365802906198769</v>
      </c>
      <c r="N562" s="304">
        <f t="shared" ca="1" si="249"/>
        <v>-88.039565535504423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1.7842999999999964</v>
      </c>
      <c r="T562" s="304">
        <f t="shared" ca="1" si="233"/>
        <v>17.503982999999966</v>
      </c>
      <c r="U562" s="311">
        <f t="shared" ca="1" si="234"/>
        <v>0</v>
      </c>
      <c r="V562" s="306">
        <f t="shared" ca="1" si="235"/>
        <v>1.1066673337042316</v>
      </c>
      <c r="W562" s="304">
        <f t="shared" ca="1" si="236"/>
        <v>17.52918221866555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 t="e">
        <f t="shared" ca="1" si="237"/>
        <v>#N/A</v>
      </c>
      <c r="AG562" s="306">
        <f t="shared" ca="1" si="259"/>
        <v>-9.4521453624505369E-3</v>
      </c>
      <c r="AH562" s="304">
        <f t="shared" ca="1" si="260"/>
        <v>-9.8136051406263132</v>
      </c>
    </row>
    <row r="563" spans="1:34" x14ac:dyDescent="0.2">
      <c r="A563" s="347">
        <f t="shared" ca="1" si="238"/>
        <v>0.1</v>
      </c>
      <c r="B563" s="304">
        <f t="shared" ca="1" si="239"/>
        <v>48.600000000000406</v>
      </c>
      <c r="D563" s="306">
        <f t="shared" ca="1" si="240"/>
        <v>-0.33607695406929972</v>
      </c>
      <c r="E563" s="307">
        <f t="shared" ca="1" si="241"/>
        <v>8.3725760539685723E-3</v>
      </c>
      <c r="F563" s="304">
        <f t="shared" ca="1" si="242"/>
        <v>0.33618122952698842</v>
      </c>
      <c r="G563" s="306">
        <f t="shared" ca="1" si="243"/>
        <v>3.6824609009485347</v>
      </c>
      <c r="H563" s="307">
        <f t="shared" ca="1" si="244"/>
        <v>-108.56282816310798</v>
      </c>
      <c r="I563" s="304">
        <f t="shared" ca="1" si="245"/>
        <v>108.62526491134338</v>
      </c>
      <c r="J563" s="306">
        <f t="shared" ca="1" si="246"/>
        <v>786.59916055122665</v>
      </c>
      <c r="K563" s="307">
        <f t="shared" ca="1" si="247"/>
        <v>1004.1483853432974</v>
      </c>
      <c r="L563" s="304">
        <f t="shared" ca="1" si="232"/>
        <v>1275.5595709991148</v>
      </c>
      <c r="M563" s="306">
        <f t="shared" ca="1" si="248"/>
        <v>-1.5368892370049738</v>
      </c>
      <c r="N563" s="304">
        <f t="shared" ca="1" si="249"/>
        <v>-88.057266859466296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1.7842999999999964</v>
      </c>
      <c r="T563" s="304">
        <f t="shared" ca="1" si="233"/>
        <v>17.503982999999966</v>
      </c>
      <c r="U563" s="311">
        <f t="shared" ca="1" si="234"/>
        <v>0</v>
      </c>
      <c r="V563" s="306">
        <f t="shared" ca="1" si="235"/>
        <v>1.1078724926639834</v>
      </c>
      <c r="W563" s="304">
        <f t="shared" ca="1" si="236"/>
        <v>17.547631340759597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 t="e">
        <f t="shared" ca="1" si="237"/>
        <v>#N/A</v>
      </c>
      <c r="AG563" s="306">
        <f t="shared" ca="1" si="259"/>
        <v>-1.9864653077753758E-2</v>
      </c>
      <c r="AH563" s="304">
        <f t="shared" ca="1" si="260"/>
        <v>-9.8241227476688806</v>
      </c>
    </row>
    <row r="564" spans="1:34" x14ac:dyDescent="0.2">
      <c r="A564" s="347">
        <f t="shared" ca="1" si="238"/>
        <v>0.1</v>
      </c>
      <c r="B564" s="304">
        <f t="shared" ca="1" si="239"/>
        <v>48.700000000000408</v>
      </c>
      <c r="D564" s="306">
        <f t="shared" ca="1" si="240"/>
        <v>-0.33339410923801482</v>
      </c>
      <c r="E564" s="307">
        <f t="shared" ca="1" si="241"/>
        <v>1.8809691496301184E-2</v>
      </c>
      <c r="F564" s="304">
        <f t="shared" ca="1" si="242"/>
        <v>0.33392429766160381</v>
      </c>
      <c r="G564" s="306">
        <f t="shared" ca="1" si="243"/>
        <v>3.6491214900247333</v>
      </c>
      <c r="H564" s="307">
        <f t="shared" ca="1" si="244"/>
        <v>-108.56094719395836</v>
      </c>
      <c r="I564" s="304">
        <f t="shared" ca="1" si="245"/>
        <v>108.62225988856231</v>
      </c>
      <c r="J564" s="306">
        <f t="shared" ca="1" si="246"/>
        <v>786.96573967077529</v>
      </c>
      <c r="K564" s="307">
        <f t="shared" ca="1" si="247"/>
        <v>993.29219657544411</v>
      </c>
      <c r="L564" s="304">
        <f t="shared" ca="1" si="232"/>
        <v>1267.2586410016077</v>
      </c>
      <c r="M564" s="306">
        <f t="shared" ca="1" si="248"/>
        <v>-1.5371954033684605</v>
      </c>
      <c r="N564" s="304">
        <f t="shared" ca="1" si="249"/>
        <v>-88.074808899922957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1.7842999999999964</v>
      </c>
      <c r="T564" s="304">
        <f t="shared" ca="1" si="233"/>
        <v>17.503982999999966</v>
      </c>
      <c r="U564" s="311">
        <f t="shared" ca="1" si="234"/>
        <v>0</v>
      </c>
      <c r="V564" s="306">
        <f t="shared" ca="1" si="235"/>
        <v>1.1090788829678266</v>
      </c>
      <c r="W564" s="304">
        <f t="shared" ca="1" si="236"/>
        <v>17.565767475708789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 t="e">
        <f t="shared" ca="1" si="257"/>
        <v>#N/A</v>
      </c>
      <c r="AD564" s="323" t="e">
        <f t="shared" ca="1" si="258"/>
        <v>#N/A</v>
      </c>
      <c r="AE564" s="324" t="e">
        <f t="shared" ca="1" si="237"/>
        <v>#N/A</v>
      </c>
      <c r="AG564" s="306">
        <f t="shared" ca="1" si="259"/>
        <v>-3.0101137891431762E-2</v>
      </c>
      <c r="AH564" s="304">
        <f t="shared" ca="1" si="260"/>
        <v>-9.8344624450818987</v>
      </c>
    </row>
    <row r="565" spans="1:34" x14ac:dyDescent="0.2">
      <c r="A565" s="347">
        <f t="shared" ca="1" si="238"/>
        <v>0.1</v>
      </c>
      <c r="B565" s="304">
        <f t="shared" ca="1" si="239"/>
        <v>48.800000000000409</v>
      </c>
      <c r="D565" s="306">
        <f t="shared" ca="1" si="240"/>
        <v>-0.33072630786149793</v>
      </c>
      <c r="E565" s="307">
        <f t="shared" ca="1" si="241"/>
        <v>2.9069853265317747E-2</v>
      </c>
      <c r="F565" s="304">
        <f t="shared" ca="1" si="242"/>
        <v>0.33200142632308888</v>
      </c>
      <c r="G565" s="306">
        <f t="shared" ca="1" si="243"/>
        <v>3.6160488592385835</v>
      </c>
      <c r="H565" s="307">
        <f t="shared" ca="1" si="244"/>
        <v>-108.55804020863182</v>
      </c>
      <c r="I565" s="304">
        <f t="shared" ca="1" si="245"/>
        <v>108.61824848197159</v>
      </c>
      <c r="J565" s="306">
        <f t="shared" ca="1" si="246"/>
        <v>787.32899818823842</v>
      </c>
      <c r="K565" s="307">
        <f t="shared" ca="1" si="247"/>
        <v>982.43624720531466</v>
      </c>
      <c r="L565" s="304">
        <f t="shared" ca="1" si="232"/>
        <v>1258.9948098427401</v>
      </c>
      <c r="M565" s="306">
        <f t="shared" ca="1" si="248"/>
        <v>-1.5374988174322268</v>
      </c>
      <c r="N565" s="304">
        <f t="shared" ca="1" si="249"/>
        <v>-88.092193245221679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1.7842999999999964</v>
      </c>
      <c r="T565" s="304">
        <f t="shared" ca="1" si="233"/>
        <v>17.503982999999966</v>
      </c>
      <c r="U565" s="311">
        <f t="shared" ca="1" si="234"/>
        <v>0</v>
      </c>
      <c r="V565" s="306">
        <f t="shared" ca="1" si="235"/>
        <v>1.1102864949858429</v>
      </c>
      <c r="W565" s="304">
        <f t="shared" ca="1" si="236"/>
        <v>17.583595034709813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 t="e">
        <f t="shared" ca="1" si="237"/>
        <v>#N/A</v>
      </c>
      <c r="AG565" s="306">
        <f t="shared" ca="1" si="259"/>
        <v>-4.0164062937762424E-2</v>
      </c>
      <c r="AH565" s="304">
        <f t="shared" ca="1" si="260"/>
        <v>-9.8446267307677093</v>
      </c>
    </row>
    <row r="566" spans="1:34" x14ac:dyDescent="0.2">
      <c r="A566" s="347">
        <f t="shared" ca="1" si="238"/>
        <v>0.1</v>
      </c>
      <c r="B566" s="304">
        <f t="shared" ca="1" si="239"/>
        <v>48.900000000000411</v>
      </c>
      <c r="D566" s="306">
        <f t="shared" ca="1" si="240"/>
        <v>-0.32807360598636193</v>
      </c>
      <c r="E566" s="307">
        <f t="shared" ca="1" si="241"/>
        <v>3.9155555259180019E-2</v>
      </c>
      <c r="F566" s="304">
        <f t="shared" ca="1" si="242"/>
        <v>0.33040194983163967</v>
      </c>
      <c r="G566" s="306">
        <f t="shared" ca="1" si="243"/>
        <v>3.5832414986399472</v>
      </c>
      <c r="H566" s="307">
        <f t="shared" ca="1" si="244"/>
        <v>-108.5541246531059</v>
      </c>
      <c r="I566" s="304">
        <f t="shared" ca="1" si="245"/>
        <v>108.61324780541106</v>
      </c>
      <c r="J566" s="306">
        <f t="shared" ca="1" si="246"/>
        <v>787.68896270613232</v>
      </c>
      <c r="K566" s="307">
        <f t="shared" ca="1" si="247"/>
        <v>971.58063896222779</v>
      </c>
      <c r="L566" s="304">
        <f t="shared" ca="1" si="232"/>
        <v>1250.7688995075443</v>
      </c>
      <c r="M566" s="306">
        <f t="shared" ca="1" si="248"/>
        <v>-1.5377995065481398</v>
      </c>
      <c r="N566" s="304">
        <f t="shared" ca="1" si="249"/>
        <v>-88.109421462509019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1.7842999999999964</v>
      </c>
      <c r="T566" s="304">
        <f t="shared" ca="1" si="233"/>
        <v>17.503982999999966</v>
      </c>
      <c r="U566" s="311">
        <f t="shared" ca="1" si="234"/>
        <v>0</v>
      </c>
      <c r="V566" s="306">
        <f t="shared" ca="1" si="235"/>
        <v>1.1114953192400263</v>
      </c>
      <c r="W566" s="304">
        <f t="shared" ca="1" si="236"/>
        <v>17.601118383118418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 t="e">
        <f t="shared" ca="1" si="237"/>
        <v>#N/A</v>
      </c>
      <c r="AG566" s="306">
        <f t="shared" ca="1" si="259"/>
        <v>-5.0055866365704915E-2</v>
      </c>
      <c r="AH566" s="304">
        <f t="shared" ca="1" si="260"/>
        <v>-9.8546180769544627</v>
      </c>
    </row>
    <row r="567" spans="1:34" x14ac:dyDescent="0.2">
      <c r="A567" s="347">
        <f t="shared" ca="1" si="238"/>
        <v>0.1</v>
      </c>
      <c r="B567" s="304">
        <f t="shared" ca="1" si="239"/>
        <v>49.000000000000412</v>
      </c>
      <c r="D567" s="306">
        <f t="shared" ca="1" si="240"/>
        <v>-0.32543605545009863</v>
      </c>
      <c r="E567" s="307">
        <f t="shared" ca="1" si="241"/>
        <v>4.9069265455273126E-2</v>
      </c>
      <c r="F567" s="304">
        <f t="shared" ca="1" si="242"/>
        <v>0.32911459858116249</v>
      </c>
      <c r="G567" s="306">
        <f t="shared" ca="1" si="243"/>
        <v>3.5506978930949376</v>
      </c>
      <c r="H567" s="307">
        <f t="shared" ca="1" si="244"/>
        <v>-108.54921772656037</v>
      </c>
      <c r="I567" s="304">
        <f t="shared" ca="1" si="245"/>
        <v>108.6072747313744</v>
      </c>
      <c r="J567" s="306">
        <f t="shared" ca="1" si="246"/>
        <v>788.04565967571909</v>
      </c>
      <c r="K567" s="307">
        <f t="shared" ca="1" si="247"/>
        <v>960.72547184324446</v>
      </c>
      <c r="L567" s="304">
        <f t="shared" ca="1" si="232"/>
        <v>1242.5817453922957</v>
      </c>
      <c r="M567" s="306">
        <f t="shared" ca="1" si="248"/>
        <v>-1.5380974977051749</v>
      </c>
      <c r="N567" s="304">
        <f t="shared" ca="1" si="249"/>
        <v>-88.126495098139344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1.7842999999999964</v>
      </c>
      <c r="T567" s="304">
        <f t="shared" ca="1" si="233"/>
        <v>17.503982999999966</v>
      </c>
      <c r="U567" s="311">
        <f t="shared" ca="1" si="234"/>
        <v>0</v>
      </c>
      <c r="V567" s="306">
        <f t="shared" ca="1" si="235"/>
        <v>1.112705346402356</v>
      </c>
      <c r="W567" s="304">
        <f t="shared" ca="1" si="236"/>
        <v>17.618341840439058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>
        <f t="shared" ca="1" si="257"/>
        <v>49.000000000000412</v>
      </c>
      <c r="AD567" s="323">
        <f t="shared" ca="1" si="258"/>
        <v>788.04565967571909</v>
      </c>
      <c r="AE567" s="324" t="e">
        <f t="shared" ca="1" si="237"/>
        <v>#N/A</v>
      </c>
      <c r="AG567" s="306">
        <f t="shared" ca="1" si="259"/>
        <v>-5.9778961306294676E-2</v>
      </c>
      <c r="AH567" s="304">
        <f t="shared" ca="1" si="260"/>
        <v>-9.8644389301790358</v>
      </c>
    </row>
    <row r="568" spans="1:34" x14ac:dyDescent="0.2">
      <c r="A568" s="347">
        <f t="shared" ca="1" si="238"/>
        <v>0.1</v>
      </c>
      <c r="B568" s="304">
        <f t="shared" ca="1" si="239"/>
        <v>49.100000000000414</v>
      </c>
      <c r="D568" s="306">
        <f t="shared" ca="1" si="240"/>
        <v>-0.32281370398243198</v>
      </c>
      <c r="E568" s="307">
        <f t="shared" ca="1" si="241"/>
        <v>5.8813425904544303E-2</v>
      </c>
      <c r="F568" s="304">
        <f t="shared" ca="1" si="242"/>
        <v>0.32812757663062475</v>
      </c>
      <c r="G568" s="306">
        <f t="shared" ca="1" si="243"/>
        <v>3.5184165226966941</v>
      </c>
      <c r="H568" s="307">
        <f t="shared" ca="1" si="244"/>
        <v>-108.54333638396992</v>
      </c>
      <c r="I568" s="304">
        <f t="shared" ca="1" si="245"/>
        <v>108.60034589351376</v>
      </c>
      <c r="J568" s="306">
        <f t="shared" ca="1" si="246"/>
        <v>788.39911539650871</v>
      </c>
      <c r="K568" s="307">
        <f t="shared" ca="1" si="247"/>
        <v>949.870844137718</v>
      </c>
      <c r="L568" s="304">
        <f t="shared" ca="1" si="232"/>
        <v>1234.4341965859899</v>
      </c>
      <c r="M568" s="306">
        <f t="shared" ca="1" si="248"/>
        <v>-1.5383928175363735</v>
      </c>
      <c r="N568" s="304">
        <f t="shared" ca="1" si="249"/>
        <v>-88.143415678073538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1.7842999999999964</v>
      </c>
      <c r="T568" s="304">
        <f t="shared" ca="1" si="233"/>
        <v>17.503982999999966</v>
      </c>
      <c r="U568" s="311">
        <f t="shared" ca="1" si="234"/>
        <v>0</v>
      </c>
      <c r="V568" s="306">
        <f t="shared" ca="1" si="235"/>
        <v>1.1139165672928908</v>
      </c>
      <c r="W568" s="304">
        <f t="shared" ca="1" si="236"/>
        <v>17.635269680334023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 t="e">
        <f t="shared" ca="1" si="237"/>
        <v>#N/A</v>
      </c>
      <c r="AG568" s="306">
        <f t="shared" ca="1" si="259"/>
        <v>-6.9335735851719704E-2</v>
      </c>
      <c r="AH568" s="304">
        <f t="shared" ca="1" si="260"/>
        <v>-9.8740917112812276</v>
      </c>
    </row>
    <row r="569" spans="1:34" x14ac:dyDescent="0.2">
      <c r="A569" s="347">
        <f t="shared" ca="1" si="238"/>
        <v>0.1</v>
      </c>
      <c r="B569" s="304">
        <f t="shared" ca="1" si="239"/>
        <v>49.200000000000415</v>
      </c>
      <c r="D569" s="306">
        <f t="shared" ca="1" si="240"/>
        <v>-0.32020659530502121</v>
      </c>
      <c r="E569" s="307">
        <f t="shared" ca="1" si="241"/>
        <v>6.8390452736837304E-2</v>
      </c>
      <c r="F569" s="304">
        <f t="shared" ca="1" si="242"/>
        <v>0.32742864520744547</v>
      </c>
      <c r="G569" s="306">
        <f t="shared" ca="1" si="243"/>
        <v>3.4863958631661922</v>
      </c>
      <c r="H569" s="307">
        <f t="shared" ca="1" si="244"/>
        <v>-108.53649733869624</v>
      </c>
      <c r="I569" s="304">
        <f t="shared" ca="1" si="245"/>
        <v>108.59247768914528</v>
      </c>
      <c r="J569" s="306">
        <f t="shared" ca="1" si="246"/>
        <v>788.74935601580182</v>
      </c>
      <c r="K569" s="307">
        <f t="shared" ca="1" si="247"/>
        <v>939.01685245158467</v>
      </c>
      <c r="L569" s="304">
        <f t="shared" ca="1" si="232"/>
        <v>1226.3271161494488</v>
      </c>
      <c r="M569" s="306">
        <f t="shared" ca="1" si="248"/>
        <v>-1.538685492325631</v>
      </c>
      <c r="N569" s="304">
        <f t="shared" ca="1" si="249"/>
        <v>-88.160184708267877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1.7842999999999964</v>
      </c>
      <c r="T569" s="304">
        <f t="shared" ca="1" si="233"/>
        <v>17.503982999999966</v>
      </c>
      <c r="U569" s="311">
        <f t="shared" ca="1" si="234"/>
        <v>0</v>
      </c>
      <c r="V569" s="306">
        <f t="shared" ca="1" si="235"/>
        <v>1.1151289728778733</v>
      </c>
      <c r="W569" s="304">
        <f t="shared" ca="1" si="236"/>
        <v>17.651906130651138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 t="e">
        <f t="shared" ca="1" si="237"/>
        <v>#N/A</v>
      </c>
      <c r="AG569" s="306">
        <f t="shared" ca="1" si="259"/>
        <v>-7.8728553045747773E-2</v>
      </c>
      <c r="AH569" s="304">
        <f t="shared" ca="1" si="260"/>
        <v>-9.8835788154088764</v>
      </c>
    </row>
    <row r="570" spans="1:34" x14ac:dyDescent="0.2">
      <c r="A570" s="347">
        <f t="shared" ca="1" si="238"/>
        <v>0.1</v>
      </c>
      <c r="B570" s="304">
        <f t="shared" ca="1" si="239"/>
        <v>49.300000000000416</v>
      </c>
      <c r="D570" s="306">
        <f t="shared" ca="1" si="240"/>
        <v>-0.31761476922951626</v>
      </c>
      <c r="E570" s="307">
        <f t="shared" ca="1" si="241"/>
        <v>7.7802736176742826E-2</v>
      </c>
      <c r="F570" s="304">
        <f t="shared" ca="1" si="242"/>
        <v>0.32700521003388727</v>
      </c>
      <c r="G570" s="306">
        <f t="shared" ca="1" si="243"/>
        <v>3.4546343862432405</v>
      </c>
      <c r="H570" s="307">
        <f t="shared" ca="1" si="244"/>
        <v>-108.52871706507857</v>
      </c>
      <c r="I570" s="304">
        <f t="shared" ca="1" si="245"/>
        <v>108.58368628175454</v>
      </c>
      <c r="J570" s="306">
        <f t="shared" ca="1" si="246"/>
        <v>789.09640752827227</v>
      </c>
      <c r="K570" s="307">
        <f t="shared" ca="1" si="247"/>
        <v>928.16359173139597</v>
      </c>
      <c r="L570" s="304">
        <f t="shared" ca="1" si="232"/>
        <v>1218.2613813914281</v>
      </c>
      <c r="M570" s="306">
        <f t="shared" ca="1" si="248"/>
        <v>-1.5389755480143212</v>
      </c>
      <c r="N570" s="304">
        <f t="shared" ca="1" si="249"/>
        <v>-88.176803675053591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1.7842999999999964</v>
      </c>
      <c r="T570" s="304">
        <f t="shared" ca="1" si="233"/>
        <v>17.503982999999966</v>
      </c>
      <c r="U570" s="311">
        <f t="shared" ca="1" si="234"/>
        <v>0</v>
      </c>
      <c r="V570" s="306">
        <f t="shared" ca="1" si="235"/>
        <v>1.1163425542678593</v>
      </c>
      <c r="W570" s="304">
        <f t="shared" ca="1" si="236"/>
        <v>17.668255373469577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 t="e">
        <f t="shared" ca="1" si="237"/>
        <v>#N/A</v>
      </c>
      <c r="AG570" s="306">
        <f t="shared" ca="1" si="259"/>
        <v>-8.7959750884911259E-2</v>
      </c>
      <c r="AH570" s="304">
        <f t="shared" ca="1" si="260"/>
        <v>-9.8929026120333869</v>
      </c>
    </row>
    <row r="571" spans="1:34" x14ac:dyDescent="0.2">
      <c r="A571" s="347">
        <f t="shared" ca="1" si="238"/>
        <v>0.1</v>
      </c>
      <c r="B571" s="304">
        <f t="shared" ca="1" si="239"/>
        <v>49.400000000000418</v>
      </c>
      <c r="D571" s="306">
        <f t="shared" ca="1" si="240"/>
        <v>-0.31503826175397631</v>
      </c>
      <c r="E571" s="307">
        <f t="shared" ca="1" si="241"/>
        <v>8.7052640569662998E-2</v>
      </c>
      <c r="F571" s="304">
        <f t="shared" ca="1" si="242"/>
        <v>0.32684441038377549</v>
      </c>
      <c r="G571" s="306">
        <f t="shared" ca="1" si="243"/>
        <v>3.4231305600678428</v>
      </c>
      <c r="H571" s="307">
        <f t="shared" ca="1" si="244"/>
        <v>-108.5200118010216</v>
      </c>
      <c r="I571" s="304">
        <f t="shared" ca="1" si="245"/>
        <v>108.57398760350075</v>
      </c>
      <c r="J571" s="306">
        <f t="shared" ca="1" si="246"/>
        <v>789.44029577558786</v>
      </c>
      <c r="K571" s="307">
        <f t="shared" ca="1" si="247"/>
        <v>917.31115528809096</v>
      </c>
      <c r="L571" s="304">
        <f t="shared" ca="1" si="232"/>
        <v>1210.2378841410557</v>
      </c>
      <c r="M571" s="306">
        <f t="shared" ca="1" si="248"/>
        <v>-1.5392630102077598</v>
      </c>
      <c r="N571" s="304">
        <f t="shared" ca="1" si="249"/>
        <v>-88.193274045507195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1.7842999999999964</v>
      </c>
      <c r="T571" s="304">
        <f t="shared" ca="1" si="233"/>
        <v>17.503982999999966</v>
      </c>
      <c r="U571" s="311">
        <f t="shared" ca="1" si="234"/>
        <v>0</v>
      </c>
      <c r="V571" s="306">
        <f t="shared" ca="1" si="235"/>
        <v>1.1175573027158583</v>
      </c>
      <c r="W571" s="304">
        <f t="shared" ca="1" si="236"/>
        <v>17.684321545162884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 t="e">
        <f t="shared" ca="1" si="237"/>
        <v>#N/A</v>
      </c>
      <c r="AG571" s="306">
        <f t="shared" ca="1" si="259"/>
        <v>-9.7031642330243528E-2</v>
      </c>
      <c r="AH571" s="304">
        <f t="shared" ca="1" si="260"/>
        <v>-9.9020654449754026</v>
      </c>
    </row>
    <row r="572" spans="1:34" x14ac:dyDescent="0.2">
      <c r="A572" s="347">
        <f t="shared" ca="1" si="238"/>
        <v>0.1</v>
      </c>
      <c r="B572" s="304">
        <f t="shared" ca="1" si="239"/>
        <v>49.500000000000419</v>
      </c>
      <c r="D572" s="306">
        <f t="shared" ca="1" si="240"/>
        <v>-0.31247710515766641</v>
      </c>
      <c r="E572" s="307">
        <f t="shared" ca="1" si="241"/>
        <v>9.6142504417608521E-2</v>
      </c>
      <c r="F572" s="304">
        <f t="shared" ca="1" si="242"/>
        <v>0.32693320786271496</v>
      </c>
      <c r="G572" s="306">
        <f t="shared" ca="1" si="243"/>
        <v>3.3918828495520761</v>
      </c>
      <c r="H572" s="307">
        <f t="shared" ca="1" si="244"/>
        <v>-108.51039755057984</v>
      </c>
      <c r="I572" s="304">
        <f t="shared" ca="1" si="245"/>
        <v>108.5633973577189</v>
      </c>
      <c r="J572" s="306">
        <f t="shared" ca="1" si="246"/>
        <v>789.7810464460689</v>
      </c>
      <c r="K572" s="307">
        <f t="shared" ca="1" si="247"/>
        <v>906.45963482051093</v>
      </c>
      <c r="L572" s="304">
        <f t="shared" ca="1" si="232"/>
        <v>1202.2575310158725</v>
      </c>
      <c r="M572" s="306">
        <f t="shared" ca="1" si="248"/>
        <v>-1.5395479041815132</v>
      </c>
      <c r="N572" s="304">
        <f t="shared" ca="1" si="249"/>
        <v>-88.209597267811972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1.7842999999999964</v>
      </c>
      <c r="T572" s="304">
        <f t="shared" ca="1" si="233"/>
        <v>17.503982999999966</v>
      </c>
      <c r="U572" s="311">
        <f t="shared" ca="1" si="234"/>
        <v>0</v>
      </c>
      <c r="V572" s="306">
        <f t="shared" ca="1" si="235"/>
        <v>1.1187732096154921</v>
      </c>
      <c r="W572" s="304">
        <f t="shared" ca="1" si="236"/>
        <v>17.700108736478619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 t="e">
        <f t="shared" ca="1" si="237"/>
        <v>#N/A</v>
      </c>
      <c r="AG572" s="306">
        <f t="shared" ca="1" si="259"/>
        <v>-0.10594651532900379</v>
      </c>
      <c r="AH572" s="304">
        <f t="shared" ca="1" si="260"/>
        <v>-9.9110696324401282</v>
      </c>
    </row>
    <row r="573" spans="1:34" x14ac:dyDescent="0.2">
      <c r="A573" s="347">
        <f t="shared" ca="1" si="238"/>
        <v>0.1</v>
      </c>
      <c r="B573" s="304">
        <f t="shared" ca="1" si="239"/>
        <v>49.600000000000421</v>
      </c>
      <c r="D573" s="306">
        <f t="shared" ca="1" si="240"/>
        <v>-0.30993132809422991</v>
      </c>
      <c r="E573" s="307">
        <f t="shared" ca="1" si="241"/>
        <v>0.10507464042438208</v>
      </c>
      <c r="F573" s="304">
        <f t="shared" ca="1" si="242"/>
        <v>0.32725847306764472</v>
      </c>
      <c r="G573" s="306">
        <f t="shared" ca="1" si="243"/>
        <v>3.360889716742653</v>
      </c>
      <c r="H573" s="307">
        <f t="shared" ca="1" si="244"/>
        <v>-108.49989008653741</v>
      </c>
      <c r="I573" s="304">
        <f t="shared" ca="1" si="245"/>
        <v>108.55193102141853</v>
      </c>
      <c r="J573" s="306">
        <f t="shared" ca="1" si="246"/>
        <v>790.11868507438362</v>
      </c>
      <c r="K573" s="307">
        <f t="shared" ca="1" si="247"/>
        <v>895.60912043865505</v>
      </c>
      <c r="L573" s="304">
        <f t="shared" ca="1" si="232"/>
        <v>1194.3212436847023</v>
      </c>
      <c r="M573" s="306">
        <f t="shared" ca="1" si="248"/>
        <v>-1.5398302548875544</v>
      </c>
      <c r="N573" s="304">
        <f t="shared" ca="1" si="249"/>
        <v>-88.225774771610673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1.7842999999999964</v>
      </c>
      <c r="T573" s="304">
        <f t="shared" ca="1" si="233"/>
        <v>17.503982999999966</v>
      </c>
      <c r="U573" s="311">
        <f t="shared" ca="1" si="234"/>
        <v>0</v>
      </c>
      <c r="V573" s="306">
        <f t="shared" ca="1" si="235"/>
        <v>1.1199902664991737</v>
      </c>
      <c r="W573" s="304">
        <f t="shared" ca="1" si="236"/>
        <v>17.715620992634012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 t="e">
        <f t="shared" ca="1" si="237"/>
        <v>#N/A</v>
      </c>
      <c r="AG573" s="306">
        <f t="shared" ca="1" si="259"/>
        <v>-0.11470663284608662</v>
      </c>
      <c r="AH573" s="304">
        <f t="shared" ca="1" si="260"/>
        <v>-9.9199174670619588</v>
      </c>
    </row>
    <row r="574" spans="1:34" x14ac:dyDescent="0.2">
      <c r="A574" s="347">
        <f t="shared" ca="1" si="238"/>
        <v>0.1</v>
      </c>
      <c r="B574" s="304">
        <f t="shared" ca="1" si="239"/>
        <v>49.700000000000422</v>
      </c>
      <c r="D574" s="306">
        <f t="shared" ca="1" si="240"/>
        <v>-0.30740095568327891</v>
      </c>
      <c r="E574" s="307">
        <f t="shared" ca="1" si="241"/>
        <v>0.11385133554982652</v>
      </c>
      <c r="F574" s="304">
        <f t="shared" ca="1" si="242"/>
        <v>0.32780706850443658</v>
      </c>
      <c r="G574" s="306">
        <f t="shared" ca="1" si="243"/>
        <v>3.3301496211743253</v>
      </c>
      <c r="H574" s="307">
        <f t="shared" ca="1" si="244"/>
        <v>-108.48850495298242</v>
      </c>
      <c r="I574" s="304">
        <f t="shared" ca="1" si="245"/>
        <v>108.53960384777852</v>
      </c>
      <c r="J574" s="306">
        <f t="shared" ca="1" si="246"/>
        <v>790.45323704127952</v>
      </c>
      <c r="K574" s="307">
        <f t="shared" ca="1" si="247"/>
        <v>884.75970068667903</v>
      </c>
      <c r="L574" s="304">
        <f t="shared" ca="1" si="232"/>
        <v>1186.4299591245237</v>
      </c>
      <c r="M574" s="306">
        <f t="shared" ca="1" si="248"/>
        <v>-1.5401100869602748</v>
      </c>
      <c r="N574" s="304">
        <f t="shared" ca="1" si="249"/>
        <v>-88.241807968349946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1.7842999999999964</v>
      </c>
      <c r="T574" s="304">
        <f t="shared" ca="1" si="233"/>
        <v>17.503982999999966</v>
      </c>
      <c r="U574" s="311">
        <f t="shared" ca="1" si="234"/>
        <v>0</v>
      </c>
      <c r="V574" s="306">
        <f t="shared" ca="1" si="235"/>
        <v>1.1212084650362968</v>
      </c>
      <c r="W574" s="304">
        <f t="shared" ca="1" si="236"/>
        <v>17.730862313426769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 t="e">
        <f t="shared" ca="1" si="257"/>
        <v>#N/A</v>
      </c>
      <c r="AD574" s="323" t="e">
        <f t="shared" ca="1" si="258"/>
        <v>#N/A</v>
      </c>
      <c r="AE574" s="324" t="e">
        <f t="shared" ca="1" si="237"/>
        <v>#N/A</v>
      </c>
      <c r="AG574" s="306">
        <f t="shared" ca="1" si="259"/>
        <v>-0.12331423290474142</v>
      </c>
      <c r="AH574" s="304">
        <f t="shared" ca="1" si="260"/>
        <v>-9.9286112159581048</v>
      </c>
    </row>
    <row r="575" spans="1:34" x14ac:dyDescent="0.2">
      <c r="A575" s="347">
        <f t="shared" ca="1" si="238"/>
        <v>0.1</v>
      </c>
      <c r="B575" s="304">
        <f t="shared" ca="1" si="239"/>
        <v>49.800000000000423</v>
      </c>
      <c r="D575" s="306">
        <f t="shared" ca="1" si="240"/>
        <v>-0.30488600960035261</v>
      </c>
      <c r="E575" s="307">
        <f t="shared" ca="1" si="241"/>
        <v>0.12247485107261014</v>
      </c>
      <c r="F575" s="304">
        <f t="shared" ca="1" si="242"/>
        <v>0.32856592640638249</v>
      </c>
      <c r="G575" s="306">
        <f t="shared" ca="1" si="243"/>
        <v>3.2996610202142902</v>
      </c>
      <c r="H575" s="307">
        <f t="shared" ca="1" si="244"/>
        <v>-108.47625746787516</v>
      </c>
      <c r="I575" s="304">
        <f t="shared" ca="1" si="245"/>
        <v>108.52643086863708</v>
      </c>
      <c r="J575" s="306">
        <f t="shared" ca="1" si="246"/>
        <v>790.78472757334896</v>
      </c>
      <c r="K575" s="307">
        <f t="shared" ca="1" si="247"/>
        <v>873.91146256563616</v>
      </c>
      <c r="L575" s="304">
        <f t="shared" ca="1" si="232"/>
        <v>1178.5846298704498</v>
      </c>
      <c r="M575" s="306">
        <f t="shared" ca="1" si="248"/>
        <v>-1.5403874247223486</v>
      </c>
      <c r="N575" s="304">
        <f t="shared" ca="1" si="249"/>
        <v>-88.257698251616375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1.7842999999999964</v>
      </c>
      <c r="T575" s="304">
        <f t="shared" ca="1" si="233"/>
        <v>17.503982999999966</v>
      </c>
      <c r="U575" s="311">
        <f t="shared" ca="1" si="234"/>
        <v>0</v>
      </c>
      <c r="V575" s="306">
        <f t="shared" ca="1" si="235"/>
        <v>1.1224277970314509</v>
      </c>
      <c r="W575" s="304">
        <f t="shared" ca="1" si="236"/>
        <v>17.74583665336079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 t="e">
        <f t="shared" ca="1" si="237"/>
        <v>#N/A</v>
      </c>
      <c r="AG575" s="306">
        <f t="shared" ca="1" si="259"/>
        <v>-0.13177152863610075</v>
      </c>
      <c r="AH575" s="304">
        <f t="shared" ca="1" si="260"/>
        <v>-9.9371531207906774</v>
      </c>
    </row>
    <row r="576" spans="1:34" x14ac:dyDescent="0.2">
      <c r="A576" s="347">
        <f t="shared" ca="1" si="238"/>
        <v>0.1</v>
      </c>
      <c r="B576" s="304">
        <f t="shared" ca="1" si="239"/>
        <v>49.900000000000425</v>
      </c>
      <c r="D576" s="306">
        <f t="shared" ca="1" si="240"/>
        <v>-0.30238650816534485</v>
      </c>
      <c r="E576" s="307">
        <f t="shared" ca="1" si="241"/>
        <v>0.13094742266144621</v>
      </c>
      <c r="F576" s="304">
        <f t="shared" ca="1" si="242"/>
        <v>0.32952212038360279</v>
      </c>
      <c r="G576" s="306">
        <f t="shared" ca="1" si="243"/>
        <v>3.2694223693977555</v>
      </c>
      <c r="H576" s="307">
        <f t="shared" ca="1" si="244"/>
        <v>-108.46316272560901</v>
      </c>
      <c r="I576" s="304">
        <f t="shared" ca="1" si="245"/>
        <v>108.51242689697554</v>
      </c>
      <c r="J576" s="306">
        <f t="shared" ca="1" si="246"/>
        <v>791.11318174282951</v>
      </c>
      <c r="K576" s="307">
        <f t="shared" ca="1" si="247"/>
        <v>863.06449155596192</v>
      </c>
      <c r="L576" s="304">
        <f t="shared" ca="1" si="232"/>
        <v>1170.7862242578763</v>
      </c>
      <c r="M576" s="306">
        <f t="shared" ca="1" si="248"/>
        <v>-1.5406622921904614</v>
      </c>
      <c r="N576" s="304">
        <f t="shared" ca="1" si="249"/>
        <v>-88.273446997464688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1.7842999999999964</v>
      </c>
      <c r="T576" s="304">
        <f t="shared" ca="1" si="233"/>
        <v>17.503982999999966</v>
      </c>
      <c r="U576" s="311">
        <f t="shared" ca="1" si="234"/>
        <v>0</v>
      </c>
      <c r="V576" s="306">
        <f t="shared" ca="1" si="235"/>
        <v>1.1236482544226463</v>
      </c>
      <c r="W576" s="304">
        <f t="shared" ca="1" si="236"/>
        <v>17.760547921785768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-0.14008070833740938</v>
      </c>
      <c r="AH576" s="304">
        <f t="shared" ca="1" si="260"/>
        <v>-9.9455453978371491</v>
      </c>
    </row>
    <row r="577" spans="1:34" x14ac:dyDescent="0.2">
      <c r="A577" s="347">
        <f t="shared" ca="1" si="238"/>
        <v>0.1</v>
      </c>
      <c r="B577" s="304">
        <f t="shared" ca="1" si="239"/>
        <v>50.000000000000426</v>
      </c>
      <c r="D577" s="306">
        <f t="shared" ca="1" si="240"/>
        <v>-0.29990246642932239</v>
      </c>
      <c r="E577" s="307">
        <f t="shared" ca="1" si="241"/>
        <v>0.13927126045417459</v>
      </c>
      <c r="F577" s="304">
        <f t="shared" ca="1" si="242"/>
        <v>0.33066293012505255</v>
      </c>
      <c r="G577" s="306">
        <f t="shared" ca="1" si="243"/>
        <v>3.2394321227548235</v>
      </c>
      <c r="H577" s="307">
        <f t="shared" ca="1" si="244"/>
        <v>-108.44923559956359</v>
      </c>
      <c r="I577" s="304">
        <f t="shared" ca="1" si="245"/>
        <v>108.4976065293958</v>
      </c>
      <c r="J577" s="306">
        <f t="shared" ca="1" si="246"/>
        <v>791.43862446743719</v>
      </c>
      <c r="K577" s="307">
        <f t="shared" ca="1" si="247"/>
        <v>852.21887163970325</v>
      </c>
      <c r="L577" s="304">
        <f t="shared" ca="1" si="232"/>
        <v>1163.0357266557885</v>
      </c>
      <c r="M577" s="306">
        <f t="shared" ca="1" si="248"/>
        <v>-1.5409347130809012</v>
      </c>
      <c r="N577" s="304">
        <f t="shared" ca="1" si="249"/>
        <v>-88.289055564738092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1.7842999999999964</v>
      </c>
      <c r="T577" s="304">
        <f t="shared" ca="1" si="233"/>
        <v>17.503982999999966</v>
      </c>
      <c r="U577" s="311">
        <f t="shared" ca="1" si="234"/>
        <v>0</v>
      </c>
      <c r="V577" s="306">
        <f t="shared" ca="1" si="235"/>
        <v>1.1248698292795596</v>
      </c>
      <c r="W577" s="304">
        <f t="shared" ca="1" si="236"/>
        <v>17.774999983050328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>
        <f t="shared" ca="1" si="257"/>
        <v>50.000000000000426</v>
      </c>
      <c r="AD577" s="323">
        <f t="shared" ca="1" si="258"/>
        <v>791.43862446743719</v>
      </c>
      <c r="AE577" s="324" t="e">
        <f t="shared" ca="1" si="237"/>
        <v>#N/A</v>
      </c>
      <c r="AG577" s="306">
        <f t="shared" ca="1" si="259"/>
        <v>-0.14824393553833204</v>
      </c>
      <c r="AH577" s="304">
        <f t="shared" ca="1" si="260"/>
        <v>-9.953790238068601</v>
      </c>
    </row>
    <row r="578" spans="1:34" x14ac:dyDescent="0.2">
      <c r="A578" s="347">
        <f t="shared" ca="1" si="238"/>
        <v>0.1</v>
      </c>
      <c r="B578" s="304">
        <f t="shared" ca="1" si="239"/>
        <v>50.100000000000428</v>
      </c>
      <c r="D578" s="306">
        <f t="shared" ca="1" si="240"/>
        <v>-0.29743389625981609</v>
      </c>
      <c r="E578" s="307">
        <f t="shared" ca="1" si="241"/>
        <v>0.14744854914445149</v>
      </c>
      <c r="F578" s="304">
        <f t="shared" ca="1" si="242"/>
        <v>0.33197589865696392</v>
      </c>
      <c r="G578" s="306">
        <f t="shared" ca="1" si="243"/>
        <v>3.209688733128842</v>
      </c>
      <c r="H578" s="307">
        <f t="shared" ca="1" si="244"/>
        <v>-108.43449074464915</v>
      </c>
      <c r="I578" s="304">
        <f t="shared" ca="1" si="245"/>
        <v>108.48198414859021</v>
      </c>
      <c r="J578" s="306">
        <f t="shared" ca="1" si="246"/>
        <v>791.76108051023141</v>
      </c>
      <c r="K578" s="307">
        <f t="shared" ca="1" si="247"/>
        <v>841.37468532249261</v>
      </c>
      <c r="L578" s="304">
        <f t="shared" ca="1" si="232"/>
        <v>1155.3341376901544</v>
      </c>
      <c r="M578" s="306">
        <f t="shared" ca="1" si="248"/>
        <v>-1.5412047108150184</v>
      </c>
      <c r="N578" s="304">
        <f t="shared" ca="1" si="249"/>
        <v>-88.304525295381097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1.7842999999999964</v>
      </c>
      <c r="T578" s="304">
        <f t="shared" ca="1" si="233"/>
        <v>17.503982999999966</v>
      </c>
      <c r="U578" s="311">
        <f t="shared" ca="1" si="234"/>
        <v>0</v>
      </c>
      <c r="V578" s="306">
        <f t="shared" ca="1" si="235"/>
        <v>1.1260925138017974</v>
      </c>
      <c r="W578" s="304">
        <f t="shared" ca="1" si="236"/>
        <v>17.789196656668118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-0.15626334907514305</v>
      </c>
      <c r="AH578" s="304">
        <f t="shared" ca="1" si="260"/>
        <v>-9.9618898072355346</v>
      </c>
    </row>
    <row r="579" spans="1:34" x14ac:dyDescent="0.2">
      <c r="A579" s="347">
        <f t="shared" ca="1" si="238"/>
        <v>0.1</v>
      </c>
      <c r="B579" s="304">
        <f t="shared" ca="1" si="239"/>
        <v>50.200000000000429</v>
      </c>
      <c r="D579" s="306">
        <f t="shared" ca="1" si="240"/>
        <v>-0.29498080642456354</v>
      </c>
      <c r="E579" s="307">
        <f t="shared" ca="1" si="241"/>
        <v>0.15548144807580755</v>
      </c>
      <c r="F579" s="304">
        <f t="shared" ca="1" si="242"/>
        <v>0.33344888192140615</v>
      </c>
      <c r="G579" s="306">
        <f t="shared" ca="1" si="243"/>
        <v>3.1801906524863854</v>
      </c>
      <c r="H579" s="307">
        <f t="shared" ca="1" si="244"/>
        <v>-108.41894259984157</v>
      </c>
      <c r="I579" s="304">
        <f t="shared" ca="1" si="245"/>
        <v>108.46557392580331</v>
      </c>
      <c r="J579" s="306">
        <f t="shared" ca="1" si="246"/>
        <v>792.08057447951217</v>
      </c>
      <c r="K579" s="307">
        <f t="shared" ca="1" si="247"/>
        <v>830.53201365526809</v>
      </c>
      <c r="L579" s="304">
        <f t="shared" ca="1" si="232"/>
        <v>1147.6824744562707</v>
      </c>
      <c r="M579" s="306">
        <f t="shared" ca="1" si="248"/>
        <v>-1.5414723085245567</v>
      </c>
      <c r="N579" s="304">
        <f t="shared" ca="1" si="249"/>
        <v>-88.31985751474501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1.7842999999999964</v>
      </c>
      <c r="T579" s="304">
        <f t="shared" ca="1" si="233"/>
        <v>17.503982999999966</v>
      </c>
      <c r="U579" s="311">
        <f t="shared" ca="1" si="234"/>
        <v>0</v>
      </c>
      <c r="V579" s="306">
        <f t="shared" ca="1" si="235"/>
        <v>1.1273163003171733</v>
      </c>
      <c r="W579" s="304">
        <f t="shared" ca="1" si="236"/>
        <v>17.803141717496107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-0.164141063172492</v>
      </c>
      <c r="AH579" s="304">
        <f t="shared" ca="1" si="260"/>
        <v>-9.9698462459609676</v>
      </c>
    </row>
    <row r="580" spans="1:34" x14ac:dyDescent="0.2">
      <c r="A580" s="347">
        <f t="shared" ca="1" si="238"/>
        <v>0.1</v>
      </c>
      <c r="B580" s="304">
        <f t="shared" ca="1" si="239"/>
        <v>50.300000000000431</v>
      </c>
      <c r="D580" s="306">
        <f t="shared" ca="1" si="240"/>
        <v>-0.29254320267372241</v>
      </c>
      <c r="E580" s="307">
        <f t="shared" ca="1" si="241"/>
        <v>0.16337209134256625</v>
      </c>
      <c r="F580" s="304">
        <f t="shared" ca="1" si="242"/>
        <v>0.33507009066797122</v>
      </c>
      <c r="G580" s="306">
        <f t="shared" ca="1" si="243"/>
        <v>3.1509363322190134</v>
      </c>
      <c r="H580" s="307">
        <f t="shared" ca="1" si="244"/>
        <v>-108.40260539070732</v>
      </c>
      <c r="I580" s="304">
        <f t="shared" ca="1" si="245"/>
        <v>108.44838982328464</v>
      </c>
      <c r="J580" s="306">
        <f t="shared" ca="1" si="246"/>
        <v>792.39713082874744</v>
      </c>
      <c r="K580" s="307">
        <f t="shared" ca="1" si="247"/>
        <v>819.69093625574067</v>
      </c>
      <c r="L580" s="304">
        <f t="shared" ref="L580:L643" ca="1" si="261">SQRT(pos_x^2+pos_z^2)</f>
        <v>1140.0817707188567</v>
      </c>
      <c r="M580" s="306">
        <f t="shared" ca="1" si="248"/>
        <v>-1.5417375290568589</v>
      </c>
      <c r="N580" s="304">
        <f t="shared" ca="1" si="249"/>
        <v>-88.335053531886132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1.7842999999999964</v>
      </c>
      <c r="T580" s="304">
        <f t="shared" ref="T580:T643" ca="1" si="262">m*g</f>
        <v>17.503982999999966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1.1285411812800075</v>
      </c>
      <c r="W580" s="304">
        <f t="shared" ref="W580:W643" ca="1" si="265">1/2*Rho*Sref*Cx*vit_xz^2</f>
        <v>17.81683889592485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-0.17187916753226951</v>
      </c>
      <c r="AH580" s="304">
        <f t="shared" ca="1" si="260"/>
        <v>-9.9776616698403533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50.400000000000432</v>
      </c>
      <c r="D581" s="306">
        <f t="shared" ref="D581:D644" ca="1" si="269">IF(AND(L580&lt;L_rampe,Poussee&lt;Poids*SIN(M580)),0,(-W580+Poussee)/m*COS(M580)-U580/m*SIN(M580))</f>
        <v>-0.29012108782059121</v>
      </c>
      <c r="E581" s="307">
        <f t="shared" ref="E581:E644" ca="1" si="270">IF(AND(L580&lt;L_rampe,Poussee&lt;Poids*SIN(M580)),0,(-W580+Poussee)/m*SIN(M580)+U580/m*COS(M580)-Poids/m)</f>
        <v>0.17112258789753199</v>
      </c>
      <c r="F581" s="304">
        <f t="shared" ref="F581:F644" ca="1" si="271">SQRT(acc_x^2+acc_z^2)</f>
        <v>0.33682812484552377</v>
      </c>
      <c r="G581" s="306">
        <f t="shared" ref="G581:G644" ca="1" si="272">G580+acc_x*pas</f>
        <v>3.1219242234369542</v>
      </c>
      <c r="H581" s="307">
        <f t="shared" ref="H581:H644" ca="1" si="273">H580+acc_z*pas</f>
        <v>-108.38549313191757</v>
      </c>
      <c r="I581" s="304">
        <f t="shared" ref="I581:I644" ca="1" si="274">SQRT(vit_x^2+vit_z^2)</f>
        <v>108.43044559673189</v>
      </c>
      <c r="J581" s="306">
        <f t="shared" ref="J581:J644" ca="1" si="275">J580+0.5*(vit_x+G580)*pas*(K580&gt;=0)</f>
        <v>792.71077385653018</v>
      </c>
      <c r="K581" s="307">
        <f t="shared" ref="K581:K644" ca="1" si="276">K580+0.5*(vit_z+H580)*pas</f>
        <v>808.85153132960943</v>
      </c>
      <c r="L581" s="304">
        <f t="shared" ca="1" si="261"/>
        <v>1132.5330770986218</v>
      </c>
      <c r="M581" s="306">
        <f t="shared" ref="M581:M644" ca="1" si="277">IF(AND(L580&gt;L_rampe,G581&gt;0),ATAN2(G581,H581),$M$4)</f>
        <v>-1.5420003949799528</v>
      </c>
      <c r="N581" s="304">
        <f t="shared" ref="N581:N644" ca="1" si="278">DEGREES(Beta)</f>
        <v>-88.350114639857225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1.7842999999999964</v>
      </c>
      <c r="T581" s="304">
        <f t="shared" ca="1" si="262"/>
        <v>17.503982999999966</v>
      </c>
      <c r="U581" s="311">
        <f t="shared" ca="1" si="263"/>
        <v>0</v>
      </c>
      <c r="V581" s="306">
        <f t="shared" ca="1" si="264"/>
        <v>1.1297671492694381</v>
      </c>
      <c r="W581" s="304">
        <f t="shared" ca="1" si="265"/>
        <v>17.830291878079795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-0.17947972742948437</v>
      </c>
      <c r="AH581" s="304">
        <f t="shared" ref="AH581:AH644" ca="1" si="289">IF(AND(L580&lt;L_rampe,Poussee&lt;Poids*SIN(M580)), g*SIN(M580), (-W580+Poussee)/m)</f>
        <v>-9.9853381695482177</v>
      </c>
    </row>
    <row r="582" spans="1:34" x14ac:dyDescent="0.2">
      <c r="A582" s="347">
        <f t="shared" ca="1" si="267"/>
        <v>0.1</v>
      </c>
      <c r="B582" s="304">
        <f t="shared" ca="1" si="268"/>
        <v>50.500000000000433</v>
      </c>
      <c r="D582" s="306">
        <f t="shared" ca="1" si="269"/>
        <v>-0.2877144618208019</v>
      </c>
      <c r="E582" s="307">
        <f t="shared" ca="1" si="270"/>
        <v>0.17873502166593447</v>
      </c>
      <c r="F582" s="304">
        <f t="shared" ca="1" si="271"/>
        <v>0.33871200083663366</v>
      </c>
      <c r="G582" s="306">
        <f t="shared" ca="1" si="272"/>
        <v>3.0931527772548741</v>
      </c>
      <c r="H582" s="307">
        <f t="shared" ca="1" si="273"/>
        <v>-108.36761962975098</v>
      </c>
      <c r="I582" s="304">
        <f t="shared" ca="1" si="274"/>
        <v>108.41175479772397</v>
      </c>
      <c r="J582" s="306">
        <f t="shared" ca="1" si="275"/>
        <v>793.02152770656483</v>
      </c>
      <c r="K582" s="307">
        <f t="shared" ca="1" si="276"/>
        <v>798.01387569152598</v>
      </c>
      <c r="L582" s="304">
        <f t="shared" ca="1" si="261"/>
        <v>1125.0374612439641</v>
      </c>
      <c r="M582" s="306">
        <f t="shared" ca="1" si="277"/>
        <v>-1.5422609285875153</v>
      </c>
      <c r="N582" s="304">
        <f t="shared" ca="1" si="278"/>
        <v>-88.365042115991884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1.7842999999999964</v>
      </c>
      <c r="T582" s="304">
        <f t="shared" ca="1" si="262"/>
        <v>17.503982999999966</v>
      </c>
      <c r="U582" s="311">
        <f t="shared" ca="1" si="263"/>
        <v>0</v>
      </c>
      <c r="V582" s="306">
        <f t="shared" ca="1" si="264"/>
        <v>1.1309941969877531</v>
      </c>
      <c r="W582" s="304">
        <f t="shared" ca="1" si="265"/>
        <v>17.843504306033513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-0.18694478381456214</v>
      </c>
      <c r="AH582" s="304">
        <f t="shared" ca="1" si="289"/>
        <v>-9.9928778109509775</v>
      </c>
    </row>
    <row r="583" spans="1:34" x14ac:dyDescent="0.2">
      <c r="A583" s="347">
        <f t="shared" ca="1" si="267"/>
        <v>0.1</v>
      </c>
      <c r="B583" s="304">
        <f t="shared" ca="1" si="268"/>
        <v>50.600000000000435</v>
      </c>
      <c r="D583" s="306">
        <f t="shared" ca="1" si="269"/>
        <v>-0.28532332185007803</v>
      </c>
      <c r="E583" s="307">
        <f t="shared" ca="1" si="270"/>
        <v>0.18621145166551756</v>
      </c>
      <c r="F583" s="304">
        <f t="shared" ca="1" si="271"/>
        <v>0.34071117199608025</v>
      </c>
      <c r="G583" s="306">
        <f t="shared" ca="1" si="272"/>
        <v>3.0646204450698664</v>
      </c>
      <c r="H583" s="307">
        <f t="shared" ca="1" si="273"/>
        <v>-108.34899848458443</v>
      </c>
      <c r="I583" s="304">
        <f t="shared" ca="1" si="274"/>
        <v>108.3923307761431</v>
      </c>
      <c r="J583" s="306">
        <f t="shared" ca="1" si="275"/>
        <v>793.32941636768101</v>
      </c>
      <c r="K583" s="307">
        <f t="shared" ca="1" si="276"/>
        <v>787.17804478580922</v>
      </c>
      <c r="L583" s="304">
        <f t="shared" ca="1" si="261"/>
        <v>1117.596007986381</v>
      </c>
      <c r="M583" s="306">
        <f t="shared" ca="1" si="277"/>
        <v>-1.5425191519037253</v>
      </c>
      <c r="N583" s="304">
        <f t="shared" ca="1" si="278"/>
        <v>-88.379837222182587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1.7842999999999964</v>
      </c>
      <c r="T583" s="304">
        <f t="shared" ca="1" si="262"/>
        <v>17.503982999999966</v>
      </c>
      <c r="U583" s="311">
        <f t="shared" ca="1" si="263"/>
        <v>0</v>
      </c>
      <c r="V583" s="306">
        <f t="shared" ca="1" si="264"/>
        <v>1.1322223172587396</v>
      </c>
      <c r="W583" s="304">
        <f t="shared" ca="1" si="265"/>
        <v>17.856479778028085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-0.19427635342206351</v>
      </c>
      <c r="AH583" s="304">
        <f t="shared" ca="1" si="289"/>
        <v>-10.000282635225886</v>
      </c>
    </row>
    <row r="584" spans="1:34" x14ac:dyDescent="0.2">
      <c r="A584" s="347">
        <f t="shared" ca="1" si="267"/>
        <v>0.1</v>
      </c>
      <c r="B584" s="304">
        <f t="shared" ca="1" si="268"/>
        <v>50.700000000000436</v>
      </c>
      <c r="D584" s="306">
        <f t="shared" ca="1" si="269"/>
        <v>-0.28294766238048236</v>
      </c>
      <c r="E584" s="307">
        <f t="shared" ca="1" si="270"/>
        <v>0.19355391213238171</v>
      </c>
      <c r="F584" s="304">
        <f t="shared" ca="1" si="271"/>
        <v>0.34281554303784006</v>
      </c>
      <c r="G584" s="306">
        <f t="shared" ca="1" si="272"/>
        <v>3.036325678831818</v>
      </c>
      <c r="H584" s="307">
        <f t="shared" ca="1" si="273"/>
        <v>-108.32964309337119</v>
      </c>
      <c r="I584" s="304">
        <f t="shared" ca="1" si="274"/>
        <v>108.37218668258529</v>
      </c>
      <c r="J584" s="306">
        <f t="shared" ca="1" si="275"/>
        <v>793.6344636738761</v>
      </c>
      <c r="K584" s="307">
        <f t="shared" ca="1" si="276"/>
        <v>776.34411270691146</v>
      </c>
      <c r="L584" s="304">
        <f t="shared" ca="1" si="261"/>
        <v>1110.2098194781033</v>
      </c>
      <c r="M584" s="306">
        <f t="shared" ca="1" si="277"/>
        <v>-1.5427750866880008</v>
      </c>
      <c r="N584" s="304">
        <f t="shared" ca="1" si="278"/>
        <v>-88.394501205152153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1.7842999999999964</v>
      </c>
      <c r="T584" s="304">
        <f t="shared" ca="1" si="262"/>
        <v>17.503982999999966</v>
      </c>
      <c r="U584" s="311">
        <f t="shared" ca="1" si="263"/>
        <v>0</v>
      </c>
      <c r="V584" s="306">
        <f t="shared" ca="1" si="264"/>
        <v>1.1334515030260481</v>
      </c>
      <c r="W584" s="304">
        <f t="shared" ca="1" si="265"/>
        <v>17.869221848707163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 t="e">
        <f t="shared" ca="1" si="286"/>
        <v>#N/A</v>
      </c>
      <c r="AD584" s="323" t="e">
        <f t="shared" ca="1" si="287"/>
        <v>#N/A</v>
      </c>
      <c r="AE584" s="324" t="e">
        <f t="shared" ca="1" si="266"/>
        <v>#N/A</v>
      </c>
      <c r="AG584" s="306">
        <f t="shared" ca="1" si="288"/>
        <v>-0.20147642888531081</v>
      </c>
      <c r="AH584" s="304">
        <f t="shared" ca="1" si="289"/>
        <v>-10.007554658985663</v>
      </c>
    </row>
    <row r="585" spans="1:34" x14ac:dyDescent="0.2">
      <c r="A585" s="347">
        <f t="shared" ca="1" si="267"/>
        <v>0.1</v>
      </c>
      <c r="B585" s="304">
        <f t="shared" ca="1" si="268"/>
        <v>50.800000000000438</v>
      </c>
      <c r="D585" s="306">
        <f t="shared" ca="1" si="269"/>
        <v>-0.28058747525525563</v>
      </c>
      <c r="E585" s="307">
        <f t="shared" ca="1" si="270"/>
        <v>0.20076441265230116</v>
      </c>
      <c r="F585" s="304">
        <f t="shared" ca="1" si="271"/>
        <v>0.34501547886687944</v>
      </c>
      <c r="G585" s="306">
        <f t="shared" ca="1" si="272"/>
        <v>3.0082669313062924</v>
      </c>
      <c r="H585" s="307">
        <f t="shared" ca="1" si="273"/>
        <v>-108.30956665210596</v>
      </c>
      <c r="I585" s="304">
        <f t="shared" ca="1" si="274"/>
        <v>108.35133547075908</v>
      </c>
      <c r="J585" s="306">
        <f t="shared" ca="1" si="275"/>
        <v>793.93669330438297</v>
      </c>
      <c r="K585" s="307">
        <f t="shared" ca="1" si="276"/>
        <v>765.51215221963764</v>
      </c>
      <c r="L585" s="304">
        <f t="shared" ca="1" si="261"/>
        <v>1102.8800153103871</v>
      </c>
      <c r="M585" s="306">
        <f t="shared" ca="1" si="277"/>
        <v>-1.5430287544396286</v>
      </c>
      <c r="N585" s="304">
        <f t="shared" ca="1" si="278"/>
        <v>-88.409035296719011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1.7842999999999964</v>
      </c>
      <c r="T585" s="304">
        <f t="shared" ca="1" si="262"/>
        <v>17.503982999999966</v>
      </c>
      <c r="U585" s="311">
        <f t="shared" ca="1" si="263"/>
        <v>0</v>
      </c>
      <c r="V585" s="306">
        <f t="shared" ca="1" si="264"/>
        <v>1.1346817473515749</v>
      </c>
      <c r="W585" s="304">
        <f t="shared" ca="1" si="265"/>
        <v>17.881734029357425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-0.20854697885672557</v>
      </c>
      <c r="AH585" s="304">
        <f t="shared" ca="1" si="289"/>
        <v>-10.014695874408563</v>
      </c>
    </row>
    <row r="586" spans="1:34" x14ac:dyDescent="0.2">
      <c r="A586" s="347">
        <f t="shared" ca="1" si="267"/>
        <v>0.1</v>
      </c>
      <c r="B586" s="304">
        <f t="shared" ca="1" si="268"/>
        <v>50.900000000000439</v>
      </c>
      <c r="D586" s="306">
        <f t="shared" ca="1" si="269"/>
        <v>-0.27824274976219748</v>
      </c>
      <c r="E586" s="307">
        <f t="shared" ca="1" si="270"/>
        <v>0.20784493829732043</v>
      </c>
      <c r="F586" s="304">
        <f t="shared" ca="1" si="271"/>
        <v>0.34730180847649755</v>
      </c>
      <c r="G586" s="306">
        <f t="shared" ca="1" si="272"/>
        <v>2.9804426563300725</v>
      </c>
      <c r="H586" s="307">
        <f t="shared" ca="1" si="273"/>
        <v>-108.28878215827622</v>
      </c>
      <c r="I586" s="304">
        <f t="shared" ca="1" si="274"/>
        <v>108.32978989987137</v>
      </c>
      <c r="J586" s="306">
        <f t="shared" ca="1" si="275"/>
        <v>794.2361287837648</v>
      </c>
      <c r="K586" s="307">
        <f t="shared" ca="1" si="276"/>
        <v>754.68223477911852</v>
      </c>
      <c r="L586" s="304">
        <f t="shared" ca="1" si="261"/>
        <v>1095.6077326108216</v>
      </c>
      <c r="M586" s="306">
        <f t="shared" ca="1" si="277"/>
        <v>-1.5432801764022874</v>
      </c>
      <c r="N586" s="304">
        <f t="shared" ca="1" si="278"/>
        <v>-88.423440714056255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1.7842999999999964</v>
      </c>
      <c r="T586" s="304">
        <f t="shared" ca="1" si="262"/>
        <v>17.503982999999966</v>
      </c>
      <c r="U586" s="311">
        <f t="shared" ca="1" si="263"/>
        <v>0</v>
      </c>
      <c r="V586" s="306">
        <f t="shared" ca="1" si="264"/>
        <v>1.1359130434138631</v>
      </c>
      <c r="W586" s="304">
        <f t="shared" ca="1" si="265"/>
        <v>17.89401978815874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-0.21548994813361588</v>
      </c>
      <c r="AH586" s="304">
        <f t="shared" ca="1" si="289"/>
        <v>-10.021708249373681</v>
      </c>
    </row>
    <row r="587" spans="1:34" x14ac:dyDescent="0.2">
      <c r="A587" s="347">
        <f t="shared" ca="1" si="267"/>
        <v>0.1</v>
      </c>
      <c r="B587" s="304">
        <f t="shared" ca="1" si="268"/>
        <v>51.000000000000441</v>
      </c>
      <c r="D587" s="306">
        <f t="shared" ca="1" si="269"/>
        <v>-0.27591347270564776</v>
      </c>
      <c r="E587" s="307">
        <f t="shared" ca="1" si="270"/>
        <v>0.21479744976730686</v>
      </c>
      <c r="F587" s="304">
        <f t="shared" ca="1" si="271"/>
        <v>0.34966582453398121</v>
      </c>
      <c r="G587" s="306">
        <f t="shared" ca="1" si="272"/>
        <v>2.9528513090595077</v>
      </c>
      <c r="H587" s="307">
        <f t="shared" ca="1" si="273"/>
        <v>-108.26730241329949</v>
      </c>
      <c r="I587" s="304">
        <f t="shared" ca="1" si="274"/>
        <v>108.30756253700044</v>
      </c>
      <c r="J587" s="306">
        <f t="shared" ca="1" si="275"/>
        <v>794.53279348203432</v>
      </c>
      <c r="K587" s="307">
        <f t="shared" ca="1" si="276"/>
        <v>743.85443055053975</v>
      </c>
      <c r="L587" s="304">
        <f t="shared" ca="1" si="261"/>
        <v>1088.3941261179393</v>
      </c>
      <c r="M587" s="306">
        <f t="shared" ca="1" si="277"/>
        <v>-1.5435293735684668</v>
      </c>
      <c r="N587" s="304">
        <f t="shared" ca="1" si="278"/>
        <v>-88.437718659944949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1.7842999999999964</v>
      </c>
      <c r="T587" s="304">
        <f t="shared" ca="1" si="262"/>
        <v>17.503982999999966</v>
      </c>
      <c r="U587" s="311">
        <f t="shared" ca="1" si="263"/>
        <v>0</v>
      </c>
      <c r="V587" s="306">
        <f t="shared" ca="1" si="264"/>
        <v>1.1371453845065163</v>
      </c>
      <c r="W587" s="304">
        <f t="shared" ca="1" si="265"/>
        <v>17.906082550442736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>
        <f t="shared" ca="1" si="286"/>
        <v>51.000000000000441</v>
      </c>
      <c r="AD587" s="323">
        <f t="shared" ca="1" si="287"/>
        <v>794.53279348203432</v>
      </c>
      <c r="AE587" s="324" t="e">
        <f t="shared" ca="1" si="266"/>
        <v>#N/A</v>
      </c>
      <c r="AG587" s="306">
        <f t="shared" ca="1" si="288"/>
        <v>-0.22230725778913474</v>
      </c>
      <c r="AH587" s="304">
        <f t="shared" ca="1" si="289"/>
        <v>-10.028593727601175</v>
      </c>
    </row>
    <row r="588" spans="1:34" x14ac:dyDescent="0.2">
      <c r="A588" s="347">
        <f t="shared" ca="1" si="267"/>
        <v>0.1</v>
      </c>
      <c r="B588" s="304">
        <f t="shared" ca="1" si="268"/>
        <v>51.100000000000442</v>
      </c>
      <c r="D588" s="306">
        <f t="shared" ca="1" si="269"/>
        <v>-0.27359962847706359</v>
      </c>
      <c r="E588" s="307">
        <f t="shared" ca="1" si="270"/>
        <v>0.22162388353621587</v>
      </c>
      <c r="F588" s="304">
        <f t="shared" ca="1" si="271"/>
        <v>0.35209927926149098</v>
      </c>
      <c r="G588" s="306">
        <f t="shared" ca="1" si="272"/>
        <v>2.9254913462118015</v>
      </c>
      <c r="H588" s="307">
        <f t="shared" ca="1" si="273"/>
        <v>-108.24514002494587</v>
      </c>
      <c r="I588" s="304">
        <f t="shared" ca="1" si="274"/>
        <v>108.28466575945505</v>
      </c>
      <c r="J588" s="306">
        <f t="shared" ca="1" si="275"/>
        <v>794.82671061479789</v>
      </c>
      <c r="K588" s="307">
        <f t="shared" ca="1" si="276"/>
        <v>733.02880842862749</v>
      </c>
      <c r="L588" s="304">
        <f t="shared" ca="1" si="261"/>
        <v>1081.2403682313352</v>
      </c>
      <c r="M588" s="306">
        <f t="shared" ca="1" si="277"/>
        <v>-1.543776366683786</v>
      </c>
      <c r="N588" s="304">
        <f t="shared" ca="1" si="278"/>
        <v>-88.451870323021538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1.7842999999999964</v>
      </c>
      <c r="T588" s="304">
        <f t="shared" ca="1" si="262"/>
        <v>17.503982999999966</v>
      </c>
      <c r="U588" s="311">
        <f t="shared" ca="1" si="263"/>
        <v>0</v>
      </c>
      <c r="V588" s="306">
        <f t="shared" ca="1" si="264"/>
        <v>1.1383787640366354</v>
      </c>
      <c r="W588" s="304">
        <f t="shared" ca="1" si="265"/>
        <v>17.917925698959241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-0.22900080530811273</v>
      </c>
      <c r="AH588" s="304">
        <f t="shared" ca="1" si="289"/>
        <v>-10.035354228797159</v>
      </c>
    </row>
    <row r="589" spans="1:34" x14ac:dyDescent="0.2">
      <c r="A589" s="347">
        <f t="shared" ca="1" si="267"/>
        <v>0.1</v>
      </c>
      <c r="B589" s="304">
        <f t="shared" ca="1" si="268"/>
        <v>51.200000000000443</v>
      </c>
      <c r="D589" s="306">
        <f t="shared" ca="1" si="269"/>
        <v>-0.2713011991242098</v>
      </c>
      <c r="E589" s="307">
        <f t="shared" ca="1" si="270"/>
        <v>0.22832615200282724</v>
      </c>
      <c r="F589" s="304">
        <f t="shared" ca="1" si="271"/>
        <v>0.35459437718984255</v>
      </c>
      <c r="G589" s="306">
        <f t="shared" ca="1" si="272"/>
        <v>2.8983612262993805</v>
      </c>
      <c r="H589" s="307">
        <f t="shared" ca="1" si="273"/>
        <v>-108.22230740974558</v>
      </c>
      <c r="I589" s="304">
        <f t="shared" ca="1" si="274"/>
        <v>108.26111175711982</v>
      </c>
      <c r="J589" s="306">
        <f t="shared" ca="1" si="275"/>
        <v>795.11790324342348</v>
      </c>
      <c r="K589" s="307">
        <f t="shared" ca="1" si="276"/>
        <v>722.20543605689295</v>
      </c>
      <c r="L589" s="304">
        <f t="shared" ca="1" si="261"/>
        <v>1074.1476490354316</v>
      </c>
      <c r="M589" s="306">
        <f t="shared" ca="1" si="277"/>
        <v>-1.5440211762512133</v>
      </c>
      <c r="N589" s="304">
        <f t="shared" ca="1" si="278"/>
        <v>-88.465896878019535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1.7842999999999964</v>
      </c>
      <c r="T589" s="304">
        <f t="shared" ca="1" si="262"/>
        <v>17.503982999999966</v>
      </c>
      <c r="U589" s="311">
        <f t="shared" ca="1" si="263"/>
        <v>0</v>
      </c>
      <c r="V589" s="306">
        <f t="shared" ca="1" si="264"/>
        <v>1.139613175523267</v>
      </c>
      <c r="W589" s="304">
        <f t="shared" ca="1" si="265"/>
        <v>17.929552574150293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-0.23557246472758742</v>
      </c>
      <c r="AH589" s="304">
        <f t="shared" ca="1" si="289"/>
        <v>-10.041991648803046</v>
      </c>
    </row>
    <row r="590" spans="1:34" x14ac:dyDescent="0.2">
      <c r="A590" s="347">
        <f t="shared" ca="1" si="267"/>
        <v>0.1</v>
      </c>
      <c r="B590" s="304">
        <f t="shared" ca="1" si="268"/>
        <v>51.300000000000445</v>
      </c>
      <c r="D590" s="306">
        <f t="shared" ca="1" si="269"/>
        <v>-0.2690181644190075</v>
      </c>
      <c r="E590" s="307">
        <f t="shared" ca="1" si="270"/>
        <v>0.2349061436457518</v>
      </c>
      <c r="F590" s="304">
        <f t="shared" ca="1" si="271"/>
        <v>0.3571437653241209</v>
      </c>
      <c r="G590" s="306">
        <f t="shared" ca="1" si="272"/>
        <v>2.8714594098574797</v>
      </c>
      <c r="H590" s="307">
        <f t="shared" ca="1" si="273"/>
        <v>-108.19881679538101</v>
      </c>
      <c r="I590" s="304">
        <f t="shared" ca="1" si="274"/>
        <v>108.23691253478584</v>
      </c>
      <c r="J590" s="306">
        <f t="shared" ca="1" si="275"/>
        <v>795.40639427523138</v>
      </c>
      <c r="K590" s="307">
        <f t="shared" ca="1" si="276"/>
        <v>711.38437984663665</v>
      </c>
      <c r="L590" s="304">
        <f t="shared" ca="1" si="261"/>
        <v>1067.1171762949505</v>
      </c>
      <c r="M590" s="306">
        <f t="shared" ca="1" si="277"/>
        <v>-1.5442638225351912</v>
      </c>
      <c r="N590" s="304">
        <f t="shared" ca="1" si="278"/>
        <v>-88.479799486006002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1.7842999999999964</v>
      </c>
      <c r="T590" s="304">
        <f t="shared" ca="1" si="262"/>
        <v>17.503982999999966</v>
      </c>
      <c r="U590" s="311">
        <f t="shared" ca="1" si="263"/>
        <v>0</v>
      </c>
      <c r="V590" s="306">
        <f t="shared" ca="1" si="264"/>
        <v>1.140848612595873</v>
      </c>
      <c r="W590" s="304">
        <f t="shared" ca="1" si="265"/>
        <v>17.940966474431182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-0.24202408678171849</v>
      </c>
      <c r="AH590" s="304">
        <f t="shared" ca="1" si="289"/>
        <v>-10.048507859749105</v>
      </c>
    </row>
    <row r="591" spans="1:34" x14ac:dyDescent="0.2">
      <c r="A591" s="347">
        <f t="shared" ca="1" si="267"/>
        <v>0.1</v>
      </c>
      <c r="B591" s="304">
        <f t="shared" ca="1" si="268"/>
        <v>51.400000000000446</v>
      </c>
      <c r="D591" s="306">
        <f t="shared" ca="1" si="269"/>
        <v>-0.26675050192400157</v>
      </c>
      <c r="E591" s="307">
        <f t="shared" ca="1" si="270"/>
        <v>0.24136572318240468</v>
      </c>
      <c r="F591" s="304">
        <f t="shared" ca="1" si="271"/>
        <v>0.35974052121504463</v>
      </c>
      <c r="G591" s="306">
        <f t="shared" ca="1" si="272"/>
        <v>2.8447843596650797</v>
      </c>
      <c r="H591" s="307">
        <f t="shared" ca="1" si="273"/>
        <v>-108.17468022306277</v>
      </c>
      <c r="I591" s="304">
        <f t="shared" ca="1" si="274"/>
        <v>108.2120799144665</v>
      </c>
      <c r="J591" s="306">
        <f t="shared" ca="1" si="275"/>
        <v>795.69220646370752</v>
      </c>
      <c r="K591" s="307">
        <f t="shared" ca="1" si="276"/>
        <v>700.56570499571444</v>
      </c>
      <c r="L591" s="304">
        <f t="shared" ca="1" si="261"/>
        <v>1060.1501754200797</v>
      </c>
      <c r="M591" s="306">
        <f t="shared" ca="1" si="277"/>
        <v>-1.544504325565667</v>
      </c>
      <c r="N591" s="304">
        <f t="shared" ca="1" si="278"/>
        <v>-88.493579294612374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1.7842999999999964</v>
      </c>
      <c r="T591" s="304">
        <f t="shared" ca="1" si="262"/>
        <v>17.503982999999966</v>
      </c>
      <c r="U591" s="311">
        <f t="shared" ca="1" si="263"/>
        <v>0</v>
      </c>
      <c r="V591" s="306">
        <f t="shared" ca="1" si="264"/>
        <v>1.142085068992811</v>
      </c>
      <c r="W591" s="304">
        <f t="shared" ca="1" si="265"/>
        <v>17.952170656478142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-0.2483574990509112</v>
      </c>
      <c r="AH591" s="304">
        <f t="shared" ca="1" si="289"/>
        <v>-10.05490471021197</v>
      </c>
    </row>
    <row r="592" spans="1:34" x14ac:dyDescent="0.2">
      <c r="A592" s="347">
        <f t="shared" ca="1" si="267"/>
        <v>0.1</v>
      </c>
      <c r="B592" s="304">
        <f t="shared" ca="1" si="268"/>
        <v>51.500000000000448</v>
      </c>
      <c r="D592" s="306">
        <f t="shared" ca="1" si="269"/>
        <v>-0.26449818705753442</v>
      </c>
      <c r="E592" s="307">
        <f t="shared" ca="1" si="270"/>
        <v>0.24770673173174274</v>
      </c>
      <c r="F592" s="304">
        <f t="shared" ca="1" si="271"/>
        <v>0.36237813938197766</v>
      </c>
      <c r="G592" s="306">
        <f t="shared" ca="1" si="272"/>
        <v>2.8183345409593263</v>
      </c>
      <c r="H592" s="307">
        <f t="shared" ca="1" si="273"/>
        <v>-108.14990954988959</v>
      </c>
      <c r="I592" s="304">
        <f t="shared" ca="1" si="274"/>
        <v>108.18662553769788</v>
      </c>
      <c r="J592" s="306">
        <f t="shared" ca="1" si="275"/>
        <v>795.97536240873876</v>
      </c>
      <c r="K592" s="307">
        <f t="shared" ca="1" si="276"/>
        <v>689.74947550706679</v>
      </c>
      <c r="L592" s="304">
        <f t="shared" ca="1" si="261"/>
        <v>1053.2478893992604</v>
      </c>
      <c r="M592" s="306">
        <f t="shared" ca="1" si="277"/>
        <v>-1.5447427051420335</v>
      </c>
      <c r="N592" s="304">
        <f t="shared" ca="1" si="278"/>
        <v>-88.50723743826029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1.7842999999999964</v>
      </c>
      <c r="T592" s="304">
        <f t="shared" ca="1" si="262"/>
        <v>17.503982999999966</v>
      </c>
      <c r="U592" s="311">
        <f t="shared" ca="1" si="263"/>
        <v>0</v>
      </c>
      <c r="V592" s="306">
        <f t="shared" ca="1" si="264"/>
        <v>1.1433225385598396</v>
      </c>
      <c r="W592" s="304">
        <f t="shared" ca="1" si="265"/>
        <v>17.963168335522468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-0.25457450611481569</v>
      </c>
      <c r="AH592" s="304">
        <f t="shared" ca="1" si="289"/>
        <v>-10.061184025375876</v>
      </c>
    </row>
    <row r="593" spans="1:34" x14ac:dyDescent="0.2">
      <c r="A593" s="347">
        <f t="shared" ca="1" si="267"/>
        <v>0.1</v>
      </c>
      <c r="B593" s="304">
        <f t="shared" ca="1" si="268"/>
        <v>51.600000000000449</v>
      </c>
      <c r="D593" s="306">
        <f t="shared" ca="1" si="269"/>
        <v>-0.26226119315757901</v>
      </c>
      <c r="E593" s="307">
        <f t="shared" ca="1" si="270"/>
        <v>0.25393098698062566</v>
      </c>
      <c r="F593" s="304">
        <f t="shared" ca="1" si="271"/>
        <v>0.36505051648421433</v>
      </c>
      <c r="G593" s="306">
        <f t="shared" ca="1" si="272"/>
        <v>2.7921084216435683</v>
      </c>
      <c r="H593" s="307">
        <f t="shared" ca="1" si="273"/>
        <v>-108.12451645119152</v>
      </c>
      <c r="I593" s="304">
        <f t="shared" ca="1" si="274"/>
        <v>108.16056086782372</v>
      </c>
      <c r="J593" s="306">
        <f t="shared" ca="1" si="275"/>
        <v>796.25588455686886</v>
      </c>
      <c r="K593" s="307">
        <f t="shared" ca="1" si="276"/>
        <v>678.93575420701268</v>
      </c>
      <c r="L593" s="304">
        <f t="shared" ca="1" si="261"/>
        <v>1046.4115786974487</v>
      </c>
      <c r="M593" s="306">
        <f t="shared" ca="1" si="277"/>
        <v>-1.5449789808369805</v>
      </c>
      <c r="N593" s="304">
        <f t="shared" ca="1" si="278"/>
        <v>-88.520775038382268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1.7842999999999964</v>
      </c>
      <c r="T593" s="304">
        <f t="shared" ca="1" si="262"/>
        <v>17.503982999999966</v>
      </c>
      <c r="U593" s="311">
        <f t="shared" ca="1" si="263"/>
        <v>0</v>
      </c>
      <c r="V593" s="306">
        <f t="shared" ca="1" si="264"/>
        <v>1.1445610152486319</v>
      </c>
      <c r="W593" s="304">
        <f t="shared" ca="1" si="265"/>
        <v>17.973962685650456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-0.26067688970917402</v>
      </c>
      <c r="AH593" s="304">
        <f t="shared" ca="1" si="289"/>
        <v>-10.067347607197503</v>
      </c>
    </row>
    <row r="594" spans="1:34" x14ac:dyDescent="0.2">
      <c r="A594" s="347">
        <f t="shared" ca="1" si="267"/>
        <v>0.1</v>
      </c>
      <c r="B594" s="304">
        <f t="shared" ca="1" si="268"/>
        <v>51.70000000000045</v>
      </c>
      <c r="D594" s="306">
        <f t="shared" ca="1" si="269"/>
        <v>-0.26003949154430139</v>
      </c>
      <c r="E594" s="307">
        <f t="shared" ca="1" si="270"/>
        <v>0.26004028335347051</v>
      </c>
      <c r="F594" s="304">
        <f t="shared" ca="1" si="271"/>
        <v>0.36775193558861391</v>
      </c>
      <c r="G594" s="306">
        <f t="shared" ca="1" si="272"/>
        <v>2.7661044724891384</v>
      </c>
      <c r="H594" s="307">
        <f t="shared" ca="1" si="273"/>
        <v>-108.09851242285617</v>
      </c>
      <c r="I594" s="304">
        <f t="shared" ca="1" si="274"/>
        <v>108.13389719226397</v>
      </c>
      <c r="J594" s="306">
        <f t="shared" ca="1" si="275"/>
        <v>796.53379520157546</v>
      </c>
      <c r="K594" s="307">
        <f t="shared" ca="1" si="276"/>
        <v>668.12460276331035</v>
      </c>
      <c r="L594" s="304">
        <f t="shared" ca="1" si="261"/>
        <v>1039.6425211176468</v>
      </c>
      <c r="M594" s="306">
        <f t="shared" ca="1" si="277"/>
        <v>-1.5452131720002615</v>
      </c>
      <c r="N594" s="304">
        <f t="shared" ca="1" si="278"/>
        <v>-88.534193203637543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1.7842999999999964</v>
      </c>
      <c r="T594" s="304">
        <f t="shared" ca="1" si="262"/>
        <v>17.503982999999966</v>
      </c>
      <c r="U594" s="311">
        <f t="shared" ca="1" si="263"/>
        <v>0</v>
      </c>
      <c r="V594" s="306">
        <f t="shared" ca="1" si="264"/>
        <v>1.1458004931153136</v>
      </c>
      <c r="W594" s="304">
        <f t="shared" ca="1" si="265"/>
        <v>17.984556840108951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 t="e">
        <f t="shared" ca="1" si="286"/>
        <v>#N/A</v>
      </c>
      <c r="AD594" s="323" t="e">
        <f t="shared" ca="1" si="287"/>
        <v>#N/A</v>
      </c>
      <c r="AE594" s="324" t="e">
        <f t="shared" ca="1" si="266"/>
        <v>#N/A</v>
      </c>
      <c r="AG594" s="306">
        <f t="shared" ca="1" si="288"/>
        <v>-0.26666640888606885</v>
      </c>
      <c r="AH594" s="304">
        <f t="shared" ca="1" si="289"/>
        <v>-10.073397234574058</v>
      </c>
    </row>
    <row r="595" spans="1:34" x14ac:dyDescent="0.2">
      <c r="A595" s="347">
        <f t="shared" ca="1" si="267"/>
        <v>0.1</v>
      </c>
      <c r="B595" s="304">
        <f t="shared" ca="1" si="268"/>
        <v>51.800000000000452</v>
      </c>
      <c r="D595" s="306">
        <f t="shared" ca="1" si="269"/>
        <v>-0.25783305158132097</v>
      </c>
      <c r="E595" s="307">
        <f t="shared" ca="1" si="270"/>
        <v>0.26603639218507169</v>
      </c>
      <c r="F595" s="304">
        <f t="shared" ca="1" si="271"/>
        <v>0.37047704983518936</v>
      </c>
      <c r="G595" s="306">
        <f t="shared" ca="1" si="272"/>
        <v>2.7403211673310062</v>
      </c>
      <c r="H595" s="307">
        <f t="shared" ca="1" si="273"/>
        <v>-108.07190878363767</v>
      </c>
      <c r="I595" s="304">
        <f t="shared" ca="1" si="274"/>
        <v>108.10664562476732</v>
      </c>
      <c r="J595" s="306">
        <f t="shared" ca="1" si="275"/>
        <v>796.80911648356641</v>
      </c>
      <c r="K595" s="307">
        <f t="shared" ca="1" si="276"/>
        <v>657.31608170298568</v>
      </c>
      <c r="L595" s="304">
        <f t="shared" ca="1" si="261"/>
        <v>1032.9420116234444</v>
      </c>
      <c r="M595" s="306">
        <f t="shared" ca="1" si="277"/>
        <v>-1.5454452977623738</v>
      </c>
      <c r="N595" s="304">
        <f t="shared" ca="1" si="278"/>
        <v>-88.547493030122823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1.7842999999999964</v>
      </c>
      <c r="T595" s="304">
        <f t="shared" ca="1" si="262"/>
        <v>17.503982999999966</v>
      </c>
      <c r="U595" s="311">
        <f t="shared" ca="1" si="263"/>
        <v>0</v>
      </c>
      <c r="V595" s="306">
        <f t="shared" ca="1" si="264"/>
        <v>1.1470409663190113</v>
      </c>
      <c r="W595" s="304">
        <f t="shared" ca="1" si="265"/>
        <v>17.994953891616124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-0.2725448001775419</v>
      </c>
      <c r="AH595" s="304">
        <f t="shared" ca="1" si="289"/>
        <v>-10.079334663514537</v>
      </c>
    </row>
    <row r="596" spans="1:34" x14ac:dyDescent="0.2">
      <c r="A596" s="347">
        <f t="shared" ca="1" si="267"/>
        <v>0.1</v>
      </c>
      <c r="B596" s="304">
        <f t="shared" ca="1" si="268"/>
        <v>51.900000000000453</v>
      </c>
      <c r="D596" s="306">
        <f t="shared" ca="1" si="269"/>
        <v>-0.25564184073574747</v>
      </c>
      <c r="E596" s="307">
        <f t="shared" ca="1" si="270"/>
        <v>0.27192106189636966</v>
      </c>
      <c r="F596" s="304">
        <f t="shared" ca="1" si="271"/>
        <v>0.37322086575861563</v>
      </c>
      <c r="G596" s="306">
        <f t="shared" ca="1" si="272"/>
        <v>2.7147569832574314</v>
      </c>
      <c r="H596" s="307">
        <f t="shared" ca="1" si="273"/>
        <v>-108.04471667744804</v>
      </c>
      <c r="I596" s="304">
        <f t="shared" ca="1" si="274"/>
        <v>108.07881710764678</v>
      </c>
      <c r="J596" s="306">
        <f t="shared" ca="1" si="275"/>
        <v>797.08187039109589</v>
      </c>
      <c r="K596" s="307">
        <f t="shared" ca="1" si="276"/>
        <v>646.51025042993138</v>
      </c>
      <c r="L596" s="304">
        <f t="shared" ca="1" si="261"/>
        <v>1026.3113621202585</v>
      </c>
      <c r="M596" s="306">
        <f t="shared" ca="1" si="277"/>
        <v>-1.5456753770381604</v>
      </c>
      <c r="N596" s="304">
        <f t="shared" ca="1" si="278"/>
        <v>-88.560675601578822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1.7842999999999964</v>
      </c>
      <c r="T596" s="304">
        <f t="shared" ca="1" si="262"/>
        <v>17.503982999999966</v>
      </c>
      <c r="U596" s="311">
        <f t="shared" ca="1" si="263"/>
        <v>0</v>
      </c>
      <c r="V596" s="306">
        <f t="shared" ca="1" si="264"/>
        <v>1.1482824291204201</v>
      </c>
      <c r="W596" s="304">
        <f t="shared" ca="1" si="265"/>
        <v>18.005156892677071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-0.27831377776228727</v>
      </c>
      <c r="AH596" s="304">
        <f t="shared" ca="1" si="289"/>
        <v>-10.085161627313882</v>
      </c>
    </row>
    <row r="597" spans="1:34" x14ac:dyDescent="0.2">
      <c r="A597" s="347">
        <f t="shared" ca="1" si="267"/>
        <v>0.1</v>
      </c>
      <c r="B597" s="304">
        <f t="shared" ca="1" si="268"/>
        <v>52.000000000000455</v>
      </c>
      <c r="D597" s="306">
        <f t="shared" ca="1" si="269"/>
        <v>-0.25346582463693262</v>
      </c>
      <c r="E597" s="307">
        <f t="shared" ca="1" si="270"/>
        <v>0.27769601817295886</v>
      </c>
      <c r="F597" s="304">
        <f t="shared" ca="1" si="271"/>
        <v>0.37597872648329</v>
      </c>
      <c r="G597" s="306">
        <f t="shared" ca="1" si="272"/>
        <v>2.6894104007937383</v>
      </c>
      <c r="H597" s="307">
        <f t="shared" ca="1" si="273"/>
        <v>-108.01694707563074</v>
      </c>
      <c r="I597" s="304">
        <f t="shared" ca="1" si="274"/>
        <v>108.0504224139985</v>
      </c>
      <c r="J597" s="306">
        <f t="shared" ca="1" si="275"/>
        <v>797.35207876029847</v>
      </c>
      <c r="K597" s="307">
        <f t="shared" ca="1" si="276"/>
        <v>635.70716724227748</v>
      </c>
      <c r="L597" s="304">
        <f t="shared" ca="1" si="261"/>
        <v>1019.7519011929177</v>
      </c>
      <c r="M597" s="306">
        <f t="shared" ca="1" si="277"/>
        <v>-1.5459034285303281</v>
      </c>
      <c r="N597" s="304">
        <f t="shared" ca="1" si="278"/>
        <v>-88.573741989591696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1.7842999999999964</v>
      </c>
      <c r="T597" s="304">
        <f t="shared" ca="1" si="262"/>
        <v>17.503982999999966</v>
      </c>
      <c r="U597" s="311">
        <f t="shared" ca="1" si="263"/>
        <v>0</v>
      </c>
      <c r="V597" s="306">
        <f t="shared" ca="1" si="264"/>
        <v>1.149524875880388</v>
      </c>
      <c r="W597" s="304">
        <f t="shared" ca="1" si="265"/>
        <v>18.015168855904051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>
        <f t="shared" ca="1" si="286"/>
        <v>52.000000000000455</v>
      </c>
      <c r="AD597" s="323">
        <f t="shared" ca="1" si="287"/>
        <v>797.35207876029847</v>
      </c>
      <c r="AE597" s="324" t="e">
        <f t="shared" ca="1" si="266"/>
        <v>#N/A</v>
      </c>
      <c r="AG597" s="306">
        <f t="shared" ca="1" si="288"/>
        <v>-0.28397503363525978</v>
      </c>
      <c r="AH597" s="304">
        <f t="shared" ca="1" si="289"/>
        <v>-10.09087983672987</v>
      </c>
    </row>
    <row r="598" spans="1:34" x14ac:dyDescent="0.2">
      <c r="A598" s="347">
        <f t="shared" ca="1" si="267"/>
        <v>0.1</v>
      </c>
      <c r="B598" s="304">
        <f t="shared" ca="1" si="268"/>
        <v>52.100000000000456</v>
      </c>
      <c r="D598" s="306">
        <f t="shared" ca="1" si="269"/>
        <v>-0.25130496713404454</v>
      </c>
      <c r="E598" s="307">
        <f t="shared" ca="1" si="270"/>
        <v>0.28336296414619433</v>
      </c>
      <c r="F598" s="304">
        <f t="shared" ca="1" si="271"/>
        <v>0.37874629497324541</v>
      </c>
      <c r="G598" s="306">
        <f t="shared" ca="1" si="272"/>
        <v>2.6642799040803338</v>
      </c>
      <c r="H598" s="307">
        <f t="shared" ca="1" si="273"/>
        <v>-107.98861077921612</v>
      </c>
      <c r="I598" s="304">
        <f t="shared" ca="1" si="274"/>
        <v>108.02147214990322</v>
      </c>
      <c r="J598" s="306">
        <f t="shared" ca="1" si="275"/>
        <v>797.61976327554214</v>
      </c>
      <c r="K598" s="307">
        <f t="shared" ca="1" si="276"/>
        <v>624.90688934953516</v>
      </c>
      <c r="L598" s="304">
        <f t="shared" ca="1" si="261"/>
        <v>1013.2649737972018</v>
      </c>
      <c r="M598" s="306">
        <f t="shared" ca="1" si="277"/>
        <v>-1.5461294707328928</v>
      </c>
      <c r="N598" s="304">
        <f t="shared" ca="1" si="278"/>
        <v>-88.586693253790486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1.7842999999999964</v>
      </c>
      <c r="T598" s="304">
        <f t="shared" ca="1" si="262"/>
        <v>17.503982999999966</v>
      </c>
      <c r="U598" s="311">
        <f t="shared" ca="1" si="263"/>
        <v>0</v>
      </c>
      <c r="V598" s="306">
        <f t="shared" ca="1" si="264"/>
        <v>1.1507683010585148</v>
      </c>
      <c r="W598" s="304">
        <f t="shared" ca="1" si="265"/>
        <v>18.024992754340857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-0.28953023778000286</v>
      </c>
      <c r="AH598" s="304">
        <f t="shared" ca="1" si="289"/>
        <v>-10.096490980162578</v>
      </c>
    </row>
    <row r="599" spans="1:34" x14ac:dyDescent="0.2">
      <c r="A599" s="347">
        <f t="shared" ca="1" si="267"/>
        <v>0.1</v>
      </c>
      <c r="B599" s="304">
        <f t="shared" ca="1" si="268"/>
        <v>52.200000000000458</v>
      </c>
      <c r="D599" s="306">
        <f t="shared" ca="1" si="269"/>
        <v>-0.24915923035239129</v>
      </c>
      <c r="E599" s="307">
        <f t="shared" ca="1" si="270"/>
        <v>0.28892358057664858</v>
      </c>
      <c r="F599" s="304">
        <f t="shared" ca="1" si="271"/>
        <v>0.38151953748533918</v>
      </c>
      <c r="G599" s="306">
        <f t="shared" ca="1" si="272"/>
        <v>2.6393639810450948</v>
      </c>
      <c r="H599" s="307">
        <f t="shared" ca="1" si="273"/>
        <v>-107.95971842115846</v>
      </c>
      <c r="I599" s="304">
        <f t="shared" ca="1" si="274"/>
        <v>107.9919767566103</v>
      </c>
      <c r="J599" s="306">
        <f t="shared" ca="1" si="275"/>
        <v>797.88494546979837</v>
      </c>
      <c r="K599" s="307">
        <f t="shared" ca="1" si="276"/>
        <v>614.10947288951638</v>
      </c>
      <c r="L599" s="304">
        <f t="shared" ca="1" si="261"/>
        <v>1006.8519409029228</v>
      </c>
      <c r="M599" s="306">
        <f t="shared" ca="1" si="277"/>
        <v>-1.5463535219345435</v>
      </c>
      <c r="N599" s="304">
        <f t="shared" ca="1" si="278"/>
        <v>-88.599530442039907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1.7842999999999964</v>
      </c>
      <c r="T599" s="304">
        <f t="shared" ca="1" si="262"/>
        <v>17.503982999999966</v>
      </c>
      <c r="U599" s="311">
        <f t="shared" ca="1" si="263"/>
        <v>0</v>
      </c>
      <c r="V599" s="306">
        <f t="shared" ca="1" si="264"/>
        <v>1.152012699211769</v>
      </c>
      <c r="W599" s="304">
        <f t="shared" ca="1" si="265"/>
        <v>18.034631521791212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-0.29498103834351141</v>
      </c>
      <c r="AH599" s="304">
        <f t="shared" ca="1" si="289"/>
        <v>-10.101996723836178</v>
      </c>
    </row>
    <row r="600" spans="1:34" x14ac:dyDescent="0.2">
      <c r="A600" s="347">
        <f t="shared" ca="1" si="267"/>
        <v>0.1</v>
      </c>
      <c r="B600" s="304">
        <f t="shared" ca="1" si="268"/>
        <v>52.300000000000459</v>
      </c>
      <c r="D600" s="306">
        <f t="shared" ca="1" si="269"/>
        <v>-0.24702857474860071</v>
      </c>
      <c r="E600" s="307">
        <f t="shared" ca="1" si="270"/>
        <v>0.29437952603983852</v>
      </c>
      <c r="F600" s="304">
        <f t="shared" ca="1" si="271"/>
        <v>0.38429470734550192</v>
      </c>
      <c r="G600" s="306">
        <f t="shared" ca="1" si="272"/>
        <v>2.6146611235702348</v>
      </c>
      <c r="H600" s="307">
        <f t="shared" ca="1" si="273"/>
        <v>-107.93028046855447</v>
      </c>
      <c r="I600" s="304">
        <f t="shared" ca="1" si="274"/>
        <v>107.96194651270392</v>
      </c>
      <c r="J600" s="306">
        <f t="shared" ca="1" si="275"/>
        <v>798.14764672502918</v>
      </c>
      <c r="K600" s="307">
        <f t="shared" ca="1" si="276"/>
        <v>603.31497294503072</v>
      </c>
      <c r="L600" s="304">
        <f t="shared" ca="1" si="261"/>
        <v>1000.5141790861162</v>
      </c>
      <c r="M600" s="306">
        <f t="shared" ca="1" si="277"/>
        <v>-1.5465756002219371</v>
      </c>
      <c r="N600" s="304">
        <f t="shared" ca="1" si="278"/>
        <v>-88.612254590629064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1.7842999999999964</v>
      </c>
      <c r="T600" s="304">
        <f t="shared" ca="1" si="262"/>
        <v>17.503982999999966</v>
      </c>
      <c r="U600" s="311">
        <f t="shared" ca="1" si="263"/>
        <v>0</v>
      </c>
      <c r="V600" s="306">
        <f t="shared" ca="1" si="264"/>
        <v>1.153258064993119</v>
      </c>
      <c r="W600" s="304">
        <f t="shared" ca="1" si="265"/>
        <v>18.044088053150666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-0.30032906181347307</v>
      </c>
      <c r="AH600" s="304">
        <f t="shared" ca="1" si="289"/>
        <v>-10.10739871198299</v>
      </c>
    </row>
    <row r="601" spans="1:34" x14ac:dyDescent="0.2">
      <c r="A601" s="347">
        <f t="shared" ca="1" si="267"/>
        <v>0.1</v>
      </c>
      <c r="B601" s="304">
        <f t="shared" ca="1" si="268"/>
        <v>52.40000000000046</v>
      </c>
      <c r="D601" s="306">
        <f t="shared" ca="1" si="269"/>
        <v>-0.24491295916459901</v>
      </c>
      <c r="E601" s="307">
        <f t="shared" ca="1" si="270"/>
        <v>0.29973243711391895</v>
      </c>
      <c r="F601" s="304">
        <f t="shared" ca="1" si="271"/>
        <v>0.38706832914229744</v>
      </c>
      <c r="G601" s="306">
        <f t="shared" ca="1" si="272"/>
        <v>2.5901698276537748</v>
      </c>
      <c r="H601" s="307">
        <f t="shared" ca="1" si="273"/>
        <v>-107.90030722484308</v>
      </c>
      <c r="I601" s="304">
        <f t="shared" ca="1" si="274"/>
        <v>107.93139153625145</v>
      </c>
      <c r="J601" s="306">
        <f t="shared" ca="1" si="275"/>
        <v>798.40788827259041</v>
      </c>
      <c r="K601" s="307">
        <f t="shared" ca="1" si="276"/>
        <v>592.52344356036087</v>
      </c>
      <c r="L601" s="304">
        <f t="shared" ca="1" si="261"/>
        <v>994.25308006790976</v>
      </c>
      <c r="M601" s="306">
        <f t="shared" ca="1" si="277"/>
        <v>-1.5467957234829197</v>
      </c>
      <c r="N601" s="304">
        <f t="shared" ca="1" si="278"/>
        <v>-88.624866724456027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1.7842999999999964</v>
      </c>
      <c r="T601" s="304">
        <f t="shared" ca="1" si="262"/>
        <v>17.503982999999966</v>
      </c>
      <c r="U601" s="311">
        <f t="shared" ca="1" si="263"/>
        <v>0</v>
      </c>
      <c r="V601" s="306">
        <f t="shared" ca="1" si="264"/>
        <v>1.1545043931501826</v>
      </c>
      <c r="W601" s="304">
        <f t="shared" ca="1" si="265"/>
        <v>18.053365204741947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-0.30557591319764654</v>
      </c>
      <c r="AH601" s="304">
        <f t="shared" ca="1" si="289"/>
        <v>-10.112698567029481</v>
      </c>
    </row>
    <row r="602" spans="1:34" x14ac:dyDescent="0.2">
      <c r="A602" s="347">
        <f t="shared" ca="1" si="267"/>
        <v>0.1</v>
      </c>
      <c r="B602" s="304">
        <f t="shared" ca="1" si="268"/>
        <v>52.500000000000462</v>
      </c>
      <c r="D602" s="306">
        <f t="shared" ca="1" si="269"/>
        <v>-0.24281234088044362</v>
      </c>
      <c r="E602" s="307">
        <f t="shared" ca="1" si="270"/>
        <v>0.30498392856934231</v>
      </c>
      <c r="F602" s="304">
        <f t="shared" ca="1" si="271"/>
        <v>0.38983718341049822</v>
      </c>
      <c r="G602" s="306">
        <f t="shared" ca="1" si="272"/>
        <v>2.5658885935657305</v>
      </c>
      <c r="H602" s="307">
        <f t="shared" ca="1" si="273"/>
        <v>-107.86980883198615</v>
      </c>
      <c r="I602" s="304">
        <f t="shared" ca="1" si="274"/>
        <v>107.90032178693365</v>
      </c>
      <c r="J602" s="306">
        <f t="shared" ca="1" si="275"/>
        <v>798.66569119365136</v>
      </c>
      <c r="K602" s="307">
        <f t="shared" ca="1" si="276"/>
        <v>581.73493775751945</v>
      </c>
      <c r="L602" s="304">
        <f t="shared" ca="1" si="261"/>
        <v>988.07005019764563</v>
      </c>
      <c r="M602" s="306">
        <f t="shared" ca="1" si="277"/>
        <v>-1.5470139094096769</v>
      </c>
      <c r="N602" s="304">
        <f t="shared" ca="1" si="278"/>
        <v>-88.637367857208361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1.7842999999999964</v>
      </c>
      <c r="T602" s="304">
        <f t="shared" ca="1" si="262"/>
        <v>17.503982999999966</v>
      </c>
      <c r="U602" s="311">
        <f t="shared" ca="1" si="263"/>
        <v>0</v>
      </c>
      <c r="V602" s="306">
        <f t="shared" ca="1" si="264"/>
        <v>1.1557516785238899</v>
      </c>
      <c r="W602" s="304">
        <f t="shared" ca="1" si="265"/>
        <v>18.062465794653338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-0.31072317620530221</v>
      </c>
      <c r="AH602" s="304">
        <f t="shared" ca="1" si="289"/>
        <v>-10.117897889784219</v>
      </c>
    </row>
    <row r="603" spans="1:34" x14ac:dyDescent="0.2">
      <c r="A603" s="347">
        <f t="shared" ca="1" si="267"/>
        <v>0.1</v>
      </c>
      <c r="B603" s="304">
        <f t="shared" ca="1" si="268"/>
        <v>52.600000000000463</v>
      </c>
      <c r="D603" s="306">
        <f t="shared" ca="1" si="269"/>
        <v>-0.24072667566603587</v>
      </c>
      <c r="E603" s="307">
        <f t="shared" ca="1" si="270"/>
        <v>0.31013559356022036</v>
      </c>
      <c r="F603" s="304">
        <f t="shared" ca="1" si="271"/>
        <v>0.39259829185844786</v>
      </c>
      <c r="G603" s="306">
        <f t="shared" ca="1" si="272"/>
        <v>2.5418159259991269</v>
      </c>
      <c r="H603" s="307">
        <f t="shared" ca="1" si="273"/>
        <v>-107.83879527263012</v>
      </c>
      <c r="I603" s="304">
        <f t="shared" ca="1" si="274"/>
        <v>107.86874706815638</v>
      </c>
      <c r="J603" s="306">
        <f t="shared" ca="1" si="275"/>
        <v>798.92107641962957</v>
      </c>
      <c r="K603" s="307">
        <f t="shared" ca="1" si="276"/>
        <v>570.94950755228865</v>
      </c>
      <c r="L603" s="304">
        <f t="shared" ca="1" si="261"/>
        <v>981.96650987785745</v>
      </c>
      <c r="M603" s="306">
        <f t="shared" ca="1" si="277"/>
        <v>-1.5472301755018172</v>
      </c>
      <c r="N603" s="304">
        <f t="shared" ca="1" si="278"/>
        <v>-88.649758991539784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1.7842999999999964</v>
      </c>
      <c r="T603" s="304">
        <f t="shared" ca="1" si="262"/>
        <v>17.503982999999966</v>
      </c>
      <c r="U603" s="311">
        <f t="shared" ca="1" si="263"/>
        <v>0</v>
      </c>
      <c r="V603" s="306">
        <f t="shared" ca="1" si="264"/>
        <v>1.1569999160471638</v>
      </c>
      <c r="W603" s="304">
        <f t="shared" ca="1" si="265"/>
        <v>18.071392603079772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-0.31577241343055817</v>
      </c>
      <c r="AH603" s="304">
        <f t="shared" ca="1" si="289"/>
        <v>-10.122998259627515</v>
      </c>
    </row>
    <row r="604" spans="1:34" x14ac:dyDescent="0.2">
      <c r="A604" s="347">
        <f t="shared" ca="1" si="267"/>
        <v>0.1</v>
      </c>
      <c r="B604" s="304">
        <f t="shared" ca="1" si="268"/>
        <v>52.700000000000465</v>
      </c>
      <c r="D604" s="306">
        <f t="shared" ca="1" si="269"/>
        <v>-0.23865591783169554</v>
      </c>
      <c r="E604" s="307">
        <f t="shared" ca="1" si="270"/>
        <v>0.31518900381720449</v>
      </c>
      <c r="F604" s="304">
        <f t="shared" ca="1" si="271"/>
        <v>0.395348903177144</v>
      </c>
      <c r="G604" s="306">
        <f t="shared" ca="1" si="272"/>
        <v>2.5179503342159575</v>
      </c>
      <c r="H604" s="307">
        <f t="shared" ca="1" si="273"/>
        <v>-107.8072763722484</v>
      </c>
      <c r="I604" s="304">
        <f t="shared" ca="1" si="274"/>
        <v>107.83667702914406</v>
      </c>
      <c r="J604" s="306">
        <f t="shared" ca="1" si="275"/>
        <v>799.17406473264032</v>
      </c>
      <c r="K604" s="307">
        <f t="shared" ca="1" si="276"/>
        <v>560.16720397004474</v>
      </c>
      <c r="L604" s="304">
        <f t="shared" ca="1" si="261"/>
        <v>975.94389292874212</v>
      </c>
      <c r="M604" s="306">
        <f t="shared" ca="1" si="277"/>
        <v>-1.5474445390693881</v>
      </c>
      <c r="N604" s="304">
        <f t="shared" ca="1" si="278"/>
        <v>-88.662041119242957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1.7842999999999964</v>
      </c>
      <c r="T604" s="304">
        <f t="shared" ca="1" si="262"/>
        <v>17.503982999999966</v>
      </c>
      <c r="U604" s="311">
        <f t="shared" ca="1" si="263"/>
        <v>0</v>
      </c>
      <c r="V604" s="306">
        <f t="shared" ca="1" si="264"/>
        <v>1.1582491007436162</v>
      </c>
      <c r="W604" s="304">
        <f t="shared" ca="1" si="265"/>
        <v>18.080148372666599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 t="e">
        <f t="shared" ca="1" si="286"/>
        <v>#N/A</v>
      </c>
      <c r="AD604" s="323" t="e">
        <f t="shared" ca="1" si="287"/>
        <v>#N/A</v>
      </c>
      <c r="AE604" s="324" t="e">
        <f t="shared" ca="1" si="266"/>
        <v>#N/A</v>
      </c>
      <c r="AG604" s="306">
        <f t="shared" ca="1" si="288"/>
        <v>-0.32072516653731675</v>
      </c>
      <c r="AH604" s="304">
        <f t="shared" ca="1" si="289"/>
        <v>-10.128001234702577</v>
      </c>
    </row>
    <row r="605" spans="1:34" x14ac:dyDescent="0.2">
      <c r="A605" s="347">
        <f t="shared" ca="1" si="267"/>
        <v>0.1</v>
      </c>
      <c r="B605" s="304">
        <f t="shared" ca="1" si="268"/>
        <v>52.800000000000466</v>
      </c>
      <c r="D605" s="306">
        <f t="shared" ca="1" si="269"/>
        <v>-0.23660002027765509</v>
      </c>
      <c r="E605" s="307">
        <f t="shared" ca="1" si="270"/>
        <v>0.32014570984190804</v>
      </c>
      <c r="F605" s="304">
        <f t="shared" ca="1" si="271"/>
        <v>0.39808647945586645</v>
      </c>
      <c r="G605" s="306">
        <f t="shared" ca="1" si="272"/>
        <v>2.494290332188192</v>
      </c>
      <c r="H605" s="307">
        <f t="shared" ca="1" si="273"/>
        <v>-107.77526180126421</v>
      </c>
      <c r="I605" s="304">
        <f t="shared" ca="1" si="274"/>
        <v>107.80412116701423</v>
      </c>
      <c r="J605" s="306">
        <f t="shared" ca="1" si="275"/>
        <v>799.4246767659605</v>
      </c>
      <c r="K605" s="307">
        <f t="shared" ca="1" si="276"/>
        <v>549.38807706136913</v>
      </c>
      <c r="L605" s="304">
        <f t="shared" ca="1" si="261"/>
        <v>970.00364588982313</v>
      </c>
      <c r="M605" s="306">
        <f t="shared" ca="1" si="277"/>
        <v>-1.547657017235827</v>
      </c>
      <c r="N605" s="304">
        <f t="shared" ca="1" si="278"/>
        <v>-88.674215221418592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1.7842999999999964</v>
      </c>
      <c r="T605" s="304">
        <f t="shared" ca="1" si="262"/>
        <v>17.503982999999966</v>
      </c>
      <c r="U605" s="311">
        <f t="shared" ca="1" si="263"/>
        <v>0</v>
      </c>
      <c r="V605" s="306">
        <f t="shared" ca="1" si="264"/>
        <v>1.1594992277262577</v>
      </c>
      <c r="W605" s="304">
        <f t="shared" ca="1" si="265"/>
        <v>18.088735808855493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-0.32558295644589563</v>
      </c>
      <c r="AH605" s="304">
        <f t="shared" ca="1" si="289"/>
        <v>-10.132908352108185</v>
      </c>
    </row>
    <row r="606" spans="1:34" x14ac:dyDescent="0.2">
      <c r="A606" s="347">
        <f t="shared" ca="1" si="267"/>
        <v>0.1</v>
      </c>
      <c r="B606" s="304">
        <f t="shared" ca="1" si="268"/>
        <v>52.900000000000468</v>
      </c>
      <c r="D606" s="306">
        <f t="shared" ca="1" si="269"/>
        <v>-0.23455893454246152</v>
      </c>
      <c r="E606" s="307">
        <f t="shared" ca="1" si="270"/>
        <v>0.325007241102508</v>
      </c>
      <c r="F606" s="304">
        <f t="shared" ca="1" si="271"/>
        <v>0.40080868321776475</v>
      </c>
      <c r="G606" s="306">
        <f t="shared" ca="1" si="272"/>
        <v>2.4708344387339456</v>
      </c>
      <c r="H606" s="307">
        <f t="shared" ca="1" si="273"/>
        <v>-107.74276107715396</v>
      </c>
      <c r="I606" s="304">
        <f t="shared" ca="1" si="274"/>
        <v>107.77108882883348</v>
      </c>
      <c r="J606" s="306">
        <f t="shared" ca="1" si="275"/>
        <v>799.6729330045066</v>
      </c>
      <c r="K606" s="307">
        <f t="shared" ca="1" si="276"/>
        <v>538.61217591744821</v>
      </c>
      <c r="L606" s="304">
        <f t="shared" ca="1" si="261"/>
        <v>964.14722725658362</v>
      </c>
      <c r="M606" s="306">
        <f t="shared" ca="1" si="277"/>
        <v>-1.5478676269408507</v>
      </c>
      <c r="N606" s="304">
        <f t="shared" ca="1" si="278"/>
        <v>-88.686282268640937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1.7842999999999964</v>
      </c>
      <c r="T606" s="304">
        <f t="shared" ca="1" si="262"/>
        <v>17.503982999999966</v>
      </c>
      <c r="U606" s="311">
        <f t="shared" ca="1" si="263"/>
        <v>0</v>
      </c>
      <c r="V606" s="306">
        <f t="shared" ca="1" si="264"/>
        <v>1.1607502921962252</v>
      </c>
      <c r="W606" s="304">
        <f t="shared" ca="1" si="265"/>
        <v>18.097157580232473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-0.33034728352095399</v>
      </c>
      <c r="AH606" s="304">
        <f t="shared" ca="1" si="289"/>
        <v>-10.137721128092545</v>
      </c>
    </row>
    <row r="607" spans="1:34" x14ac:dyDescent="0.2">
      <c r="A607" s="347">
        <f t="shared" ca="1" si="267"/>
        <v>0.1</v>
      </c>
      <c r="B607" s="304">
        <f t="shared" ca="1" si="268"/>
        <v>53.000000000000469</v>
      </c>
      <c r="D607" s="306">
        <f t="shared" ca="1" si="269"/>
        <v>-0.23253261085030885</v>
      </c>
      <c r="E607" s="307">
        <f t="shared" ca="1" si="270"/>
        <v>0.32977510623055117</v>
      </c>
      <c r="F607" s="304">
        <f t="shared" ca="1" si="271"/>
        <v>0.40351336508005836</v>
      </c>
      <c r="G607" s="306">
        <f t="shared" ca="1" si="272"/>
        <v>2.4475811776489147</v>
      </c>
      <c r="H607" s="307">
        <f t="shared" ca="1" si="273"/>
        <v>-107.7097835665309</v>
      </c>
      <c r="I607" s="304">
        <f t="shared" ca="1" si="274"/>
        <v>107.73758921365426</v>
      </c>
      <c r="J607" s="306">
        <f t="shared" ca="1" si="275"/>
        <v>799.91885378532572</v>
      </c>
      <c r="K607" s="307">
        <f t="shared" ca="1" si="276"/>
        <v>527.83954868526394</v>
      </c>
      <c r="L607" s="304">
        <f t="shared" ca="1" si="261"/>
        <v>958.37610664993747</v>
      </c>
      <c r="M607" s="306">
        <f t="shared" ca="1" si="277"/>
        <v>-1.5480763849432797</v>
      </c>
      <c r="N607" s="304">
        <f t="shared" ca="1" si="278"/>
        <v>-88.698243221119711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1.7842999999999964</v>
      </c>
      <c r="T607" s="304">
        <f t="shared" ca="1" si="262"/>
        <v>17.503982999999966</v>
      </c>
      <c r="U607" s="311">
        <f t="shared" ca="1" si="263"/>
        <v>0</v>
      </c>
      <c r="V607" s="306">
        <f t="shared" ca="1" si="264"/>
        <v>1.1620022894415249</v>
      </c>
      <c r="W607" s="304">
        <f t="shared" ca="1" si="265"/>
        <v>18.10541631887774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>
        <f t="shared" ca="1" si="286"/>
        <v>53.000000000000469</v>
      </c>
      <c r="AD607" s="323">
        <f t="shared" ca="1" si="287"/>
        <v>799.91885378532572</v>
      </c>
      <c r="AE607" s="324" t="e">
        <f t="shared" ca="1" si="266"/>
        <v>#N/A</v>
      </c>
      <c r="AG607" s="306">
        <f t="shared" ca="1" si="288"/>
        <v>-0.33501962776077221</v>
      </c>
      <c r="AH607" s="304">
        <f t="shared" ca="1" si="289"/>
        <v>-10.142441058248338</v>
      </c>
    </row>
    <row r="608" spans="1:34" x14ac:dyDescent="0.2">
      <c r="A608" s="347">
        <f t="shared" ca="1" si="267"/>
        <v>0.1</v>
      </c>
      <c r="B608" s="304">
        <f t="shared" ca="1" si="268"/>
        <v>53.10000000000047</v>
      </c>
      <c r="D608" s="306">
        <f t="shared" ca="1" si="269"/>
        <v>-0.23052099815734164</v>
      </c>
      <c r="E608" s="307">
        <f t="shared" ca="1" si="270"/>
        <v>0.33445079321877991</v>
      </c>
      <c r="F608" s="304">
        <f t="shared" ca="1" si="271"/>
        <v>0.40619855203598176</v>
      </c>
      <c r="G608" s="306">
        <f t="shared" ca="1" si="272"/>
        <v>2.4245290778331805</v>
      </c>
      <c r="H608" s="307">
        <f t="shared" ca="1" si="273"/>
        <v>-107.67633848720902</v>
      </c>
      <c r="I608" s="304">
        <f t="shared" ca="1" si="274"/>
        <v>107.70363137453292</v>
      </c>
      <c r="J608" s="306">
        <f t="shared" ca="1" si="275"/>
        <v>800.16245929809986</v>
      </c>
      <c r="K608" s="307">
        <f t="shared" ca="1" si="276"/>
        <v>517.07024258257695</v>
      </c>
      <c r="L608" s="304">
        <f t="shared" ca="1" si="261"/>
        <v>952.69176391652945</v>
      </c>
      <c r="M608" s="306">
        <f t="shared" ca="1" si="277"/>
        <v>-1.5482833078238061</v>
      </c>
      <c r="N608" s="304">
        <f t="shared" ca="1" si="278"/>
        <v>-88.710099028858565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1.7842999999999964</v>
      </c>
      <c r="T608" s="304">
        <f t="shared" ca="1" si="262"/>
        <v>17.503982999999966</v>
      </c>
      <c r="U608" s="311">
        <f t="shared" ca="1" si="263"/>
        <v>0</v>
      </c>
      <c r="V608" s="306">
        <f t="shared" ca="1" si="264"/>
        <v>1.1632552148357878</v>
      </c>
      <c r="W608" s="304">
        <f t="shared" ca="1" si="265"/>
        <v>18.113514620717076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-0.33960144898764</v>
      </c>
      <c r="AH608" s="304">
        <f t="shared" ca="1" si="289"/>
        <v>-10.14706961770878</v>
      </c>
    </row>
    <row r="609" spans="1:34" x14ac:dyDescent="0.2">
      <c r="A609" s="347">
        <f t="shared" ca="1" si="267"/>
        <v>0.1</v>
      </c>
      <c r="B609" s="304">
        <f t="shared" ca="1" si="268"/>
        <v>53.200000000000472</v>
      </c>
      <c r="D609" s="306">
        <f t="shared" ca="1" si="269"/>
        <v>-0.22852404419691016</v>
      </c>
      <c r="E609" s="307">
        <f t="shared" ca="1" si="270"/>
        <v>0.3390357696198496</v>
      </c>
      <c r="F609" s="304">
        <f t="shared" ca="1" si="271"/>
        <v>0.40886243634972763</v>
      </c>
      <c r="G609" s="306">
        <f t="shared" ca="1" si="272"/>
        <v>2.4016766734134896</v>
      </c>
      <c r="H609" s="307">
        <f t="shared" ca="1" si="273"/>
        <v>-107.64243491024703</v>
      </c>
      <c r="I609" s="304">
        <f t="shared" ca="1" si="274"/>
        <v>107.66922422052825</v>
      </c>
      <c r="J609" s="306">
        <f t="shared" ca="1" si="275"/>
        <v>800.40376958566219</v>
      </c>
      <c r="K609" s="307">
        <f t="shared" ca="1" si="276"/>
        <v>506.30430391270414</v>
      </c>
      <c r="L609" s="304">
        <f t="shared" ca="1" si="261"/>
        <v>947.0956881579948</v>
      </c>
      <c r="M609" s="306">
        <f t="shared" ca="1" si="277"/>
        <v>-1.5484884119877003</v>
      </c>
      <c r="N609" s="304">
        <f t="shared" ca="1" si="278"/>
        <v>-88.721850631810256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1.7842999999999964</v>
      </c>
      <c r="T609" s="304">
        <f t="shared" ca="1" si="262"/>
        <v>17.503982999999966</v>
      </c>
      <c r="U609" s="311">
        <f t="shared" ca="1" si="263"/>
        <v>0</v>
      </c>
      <c r="V609" s="306">
        <f t="shared" ca="1" si="264"/>
        <v>1.1645090638370443</v>
      </c>
      <c r="W609" s="304">
        <f t="shared" ca="1" si="265"/>
        <v>18.12145504587459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-0.34409418703927663</v>
      </c>
      <c r="AH609" s="304">
        <f t="shared" ca="1" si="289"/>
        <v>-10.151608261344569</v>
      </c>
    </row>
    <row r="610" spans="1:34" x14ac:dyDescent="0.2">
      <c r="A610" s="347">
        <f t="shared" ca="1" si="267"/>
        <v>0.1</v>
      </c>
      <c r="B610" s="304">
        <f t="shared" ca="1" si="268"/>
        <v>53.300000000000473</v>
      </c>
      <c r="D610" s="306">
        <f t="shared" ca="1" si="269"/>
        <v>-0.22654169552382172</v>
      </c>
      <c r="E610" s="307">
        <f t="shared" ca="1" si="270"/>
        <v>0.34353148274578871</v>
      </c>
      <c r="F610" s="304">
        <f t="shared" ca="1" si="271"/>
        <v>0.41150336505103829</v>
      </c>
      <c r="G610" s="306">
        <f t="shared" ca="1" si="272"/>
        <v>2.3790225038611075</v>
      </c>
      <c r="H610" s="307">
        <f t="shared" ca="1" si="273"/>
        <v>-107.60808176197246</v>
      </c>
      <c r="I610" s="304">
        <f t="shared" ca="1" si="274"/>
        <v>107.63437651868118</v>
      </c>
      <c r="J610" s="306">
        <f t="shared" ca="1" si="275"/>
        <v>800.64280454452592</v>
      </c>
      <c r="K610" s="307">
        <f t="shared" ca="1" si="276"/>
        <v>495.54177807909315</v>
      </c>
      <c r="L610" s="304">
        <f t="shared" ca="1" si="261"/>
        <v>941.58937668747785</v>
      </c>
      <c r="M610" s="306">
        <f t="shared" ca="1" si="277"/>
        <v>-1.5486917136674614</v>
      </c>
      <c r="N610" s="304">
        <f t="shared" ca="1" si="278"/>
        <v>-88.733498960028484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1.7842999999999964</v>
      </c>
      <c r="T610" s="304">
        <f t="shared" ca="1" si="262"/>
        <v>17.503982999999966</v>
      </c>
      <c r="U610" s="311">
        <f t="shared" ca="1" si="263"/>
        <v>0</v>
      </c>
      <c r="V610" s="306">
        <f t="shared" ca="1" si="264"/>
        <v>1.1657638319865111</v>
      </c>
      <c r="W610" s="304">
        <f t="shared" ca="1" si="265"/>
        <v>18.129240119026676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-0.34849926196111092</v>
      </c>
      <c r="AH610" s="304">
        <f t="shared" ca="1" si="289"/>
        <v>-10.156058423961568</v>
      </c>
    </row>
    <row r="611" spans="1:34" x14ac:dyDescent="0.2">
      <c r="A611" s="347">
        <f t="shared" ca="1" si="267"/>
        <v>0.1</v>
      </c>
      <c r="B611" s="304">
        <f t="shared" ca="1" si="268"/>
        <v>53.400000000000475</v>
      </c>
      <c r="D611" s="306">
        <f t="shared" ca="1" si="269"/>
        <v>-0.22457389755759727</v>
      </c>
      <c r="E611" s="307">
        <f t="shared" ca="1" si="270"/>
        <v>0.34793935986816749</v>
      </c>
      <c r="F611" s="304">
        <f t="shared" ca="1" si="271"/>
        <v>0.41411983001261887</v>
      </c>
      <c r="G611" s="306">
        <f t="shared" ca="1" si="272"/>
        <v>2.3565651141053476</v>
      </c>
      <c r="H611" s="307">
        <f t="shared" ca="1" si="273"/>
        <v>-107.57328782598564</v>
      </c>
      <c r="I611" s="304">
        <f t="shared" ca="1" si="274"/>
        <v>107.59909689597478</v>
      </c>
      <c r="J611" s="306">
        <f t="shared" ca="1" si="275"/>
        <v>800.87958392542419</v>
      </c>
      <c r="K611" s="307">
        <f t="shared" ca="1" si="276"/>
        <v>484.78270959969524</v>
      </c>
      <c r="L611" s="304">
        <f t="shared" ca="1" si="261"/>
        <v>936.1743339118965</v>
      </c>
      <c r="M611" s="306">
        <f t="shared" ca="1" si="277"/>
        <v>-1.548893228925412</v>
      </c>
      <c r="N611" s="304">
        <f t="shared" ca="1" si="278"/>
        <v>-88.745044933816558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1.7842999999999964</v>
      </c>
      <c r="T611" s="304">
        <f t="shared" ca="1" si="262"/>
        <v>17.503982999999966</v>
      </c>
      <c r="U611" s="311">
        <f t="shared" ca="1" si="263"/>
        <v>0</v>
      </c>
      <c r="V611" s="306">
        <f t="shared" ca="1" si="264"/>
        <v>1.1670195149073923</v>
      </c>
      <c r="W611" s="304">
        <f t="shared" ca="1" si="265"/>
        <v>18.136872329756844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-0.35281807419937472</v>
      </c>
      <c r="AH611" s="304">
        <f t="shared" ca="1" si="289"/>
        <v>-10.160421520499193</v>
      </c>
    </row>
    <row r="612" spans="1:34" x14ac:dyDescent="0.2">
      <c r="A612" s="347">
        <f t="shared" ca="1" si="267"/>
        <v>0.1</v>
      </c>
      <c r="B612" s="304">
        <f t="shared" ca="1" si="268"/>
        <v>53.500000000000476</v>
      </c>
      <c r="D612" s="306">
        <f t="shared" ca="1" si="269"/>
        <v>-0.22262059462474321</v>
      </c>
      <c r="E612" s="307">
        <f t="shared" ca="1" si="270"/>
        <v>0.35226080841872864</v>
      </c>
      <c r="F612" s="304">
        <f t="shared" ca="1" si="271"/>
        <v>0.41671045859072275</v>
      </c>
      <c r="G612" s="306">
        <f t="shared" ca="1" si="272"/>
        <v>2.3343030546428731</v>
      </c>
      <c r="H612" s="307">
        <f t="shared" ca="1" si="273"/>
        <v>-107.53806174514378</v>
      </c>
      <c r="I612" s="304">
        <f t="shared" ca="1" si="274"/>
        <v>107.56339384127516</v>
      </c>
      <c r="J612" s="306">
        <f t="shared" ca="1" si="275"/>
        <v>801.11412733386157</v>
      </c>
      <c r="K612" s="307">
        <f t="shared" ca="1" si="276"/>
        <v>474.02714212113875</v>
      </c>
      <c r="L612" s="304">
        <f t="shared" ca="1" si="261"/>
        <v>930.85207013866011</v>
      </c>
      <c r="M612" s="306">
        <f t="shared" ca="1" si="277"/>
        <v>-1.5490929736562387</v>
      </c>
      <c r="N612" s="304">
        <f t="shared" ca="1" si="278"/>
        <v>-88.756489463872896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1.7842999999999964</v>
      </c>
      <c r="T612" s="304">
        <f t="shared" ca="1" si="262"/>
        <v>17.503982999999966</v>
      </c>
      <c r="U612" s="311">
        <f t="shared" ca="1" si="263"/>
        <v>0</v>
      </c>
      <c r="V612" s="306">
        <f t="shared" ca="1" si="264"/>
        <v>1.1682761083036999</v>
      </c>
      <c r="W612" s="304">
        <f t="shared" ca="1" si="265"/>
        <v>18.144354132911417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-0.35705200479478805</v>
      </c>
      <c r="AH612" s="304">
        <f t="shared" ca="1" si="289"/>
        <v>-10.164698946229267</v>
      </c>
    </row>
    <row r="613" spans="1:34" x14ac:dyDescent="0.2">
      <c r="A613" s="347">
        <f t="shared" ca="1" si="267"/>
        <v>0.1</v>
      </c>
      <c r="B613" s="304">
        <f t="shared" ca="1" si="268"/>
        <v>53.600000000000477</v>
      </c>
      <c r="D613" s="306">
        <f t="shared" ca="1" si="269"/>
        <v>-0.22068173000006203</v>
      </c>
      <c r="E613" s="307">
        <f t="shared" ca="1" si="270"/>
        <v>0.35649721619052599</v>
      </c>
      <c r="F613" s="304">
        <f t="shared" ca="1" si="271"/>
        <v>0.41927400480761373</v>
      </c>
      <c r="G613" s="306">
        <f t="shared" ca="1" si="272"/>
        <v>2.3122348816428668</v>
      </c>
      <c r="H613" s="307">
        <f t="shared" ca="1" si="273"/>
        <v>-107.50241202352473</v>
      </c>
      <c r="I613" s="304">
        <f t="shared" ca="1" si="274"/>
        <v>107.5272757072528</v>
      </c>
      <c r="J613" s="306">
        <f t="shared" ca="1" si="275"/>
        <v>801.34645423067582</v>
      </c>
      <c r="K613" s="307">
        <f t="shared" ca="1" si="276"/>
        <v>463.27511843270531</v>
      </c>
      <c r="L613" s="304">
        <f t="shared" ca="1" si="261"/>
        <v>925.62410030579576</v>
      </c>
      <c r="M613" s="306">
        <f t="shared" ca="1" si="277"/>
        <v>-1.5492909635894783</v>
      </c>
      <c r="N613" s="304">
        <f t="shared" ca="1" si="278"/>
        <v>-88.767833451433603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1.7842999999999964</v>
      </c>
      <c r="T613" s="304">
        <f t="shared" ca="1" si="262"/>
        <v>17.503982999999966</v>
      </c>
      <c r="U613" s="311">
        <f t="shared" ca="1" si="263"/>
        <v>0</v>
      </c>
      <c r="V613" s="306">
        <f t="shared" ca="1" si="264"/>
        <v>1.1695336079590832</v>
      </c>
      <c r="W613" s="304">
        <f t="shared" ca="1" si="265"/>
        <v>18.151687948955722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-0.36120241557684096</v>
      </c>
      <c r="AH613" s="304">
        <f t="shared" ca="1" si="289"/>
        <v>-10.168892076955363</v>
      </c>
    </row>
    <row r="614" spans="1:34" x14ac:dyDescent="0.2">
      <c r="A614" s="347">
        <f t="shared" ca="1" si="267"/>
        <v>0.1</v>
      </c>
      <c r="B614" s="304">
        <f t="shared" ca="1" si="268"/>
        <v>53.700000000000479</v>
      </c>
      <c r="D614" s="306">
        <f t="shared" ca="1" si="269"/>
        <v>-0.21875724594702378</v>
      </c>
      <c r="E614" s="307">
        <f t="shared" ca="1" si="270"/>
        <v>0.36064995153933843</v>
      </c>
      <c r="F614" s="304">
        <f t="shared" ca="1" si="271"/>
        <v>0.42180934105310403</v>
      </c>
      <c r="G614" s="306">
        <f t="shared" ca="1" si="272"/>
        <v>2.2903591570481643</v>
      </c>
      <c r="H614" s="307">
        <f t="shared" ca="1" si="273"/>
        <v>-107.46634702837079</v>
      </c>
      <c r="I614" s="304">
        <f t="shared" ca="1" si="274"/>
        <v>107.49075071228451</v>
      </c>
      <c r="J614" s="306">
        <f t="shared" ca="1" si="275"/>
        <v>801.57658393261033</v>
      </c>
      <c r="K614" s="307">
        <f t="shared" ca="1" si="276"/>
        <v>452.52668048011054</v>
      </c>
      <c r="L614" s="304">
        <f t="shared" ca="1" si="261"/>
        <v>920.4919426347094</v>
      </c>
      <c r="M614" s="306">
        <f t="shared" ca="1" si="277"/>
        <v>-1.5494872142919536</v>
      </c>
      <c r="N614" s="304">
        <f t="shared" ca="1" si="278"/>
        <v>-88.779077788411911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1.7842999999999964</v>
      </c>
      <c r="T614" s="304">
        <f t="shared" ca="1" si="262"/>
        <v>17.503982999999966</v>
      </c>
      <c r="U614" s="311">
        <f t="shared" ca="1" si="263"/>
        <v>0</v>
      </c>
      <c r="V614" s="306">
        <f t="shared" ca="1" si="264"/>
        <v>1.170792009735677</v>
      </c>
      <c r="W614" s="304">
        <f t="shared" ca="1" si="265"/>
        <v>18.158876164330714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 t="e">
        <f t="shared" ca="1" si="286"/>
        <v>#N/A</v>
      </c>
      <c r="AD614" s="323" t="e">
        <f t="shared" ca="1" si="287"/>
        <v>#N/A</v>
      </c>
      <c r="AE614" s="324" t="e">
        <f t="shared" ca="1" si="266"/>
        <v>#N/A</v>
      </c>
      <c r="AG614" s="306">
        <f t="shared" ca="1" si="288"/>
        <v>-0.3652706493584823</v>
      </c>
      <c r="AH614" s="304">
        <f t="shared" ca="1" si="289"/>
        <v>-10.173002269212441</v>
      </c>
    </row>
    <row r="615" spans="1:34" x14ac:dyDescent="0.2">
      <c r="A615" s="347">
        <f t="shared" ca="1" si="267"/>
        <v>0.1</v>
      </c>
      <c r="B615" s="304">
        <f t="shared" ca="1" si="268"/>
        <v>53.80000000000048</v>
      </c>
      <c r="D615" s="306">
        <f t="shared" ca="1" si="269"/>
        <v>-0.21684708375720574</v>
      </c>
      <c r="E615" s="307">
        <f t="shared" ca="1" si="270"/>
        <v>0.36472036358531845</v>
      </c>
      <c r="F615" s="304">
        <f t="shared" ca="1" si="271"/>
        <v>0.42431545028175854</v>
      </c>
      <c r="G615" s="306">
        <f t="shared" ca="1" si="272"/>
        <v>2.2686744486724435</v>
      </c>
      <c r="H615" s="307">
        <f t="shared" ca="1" si="273"/>
        <v>-107.42987499201226</v>
      </c>
      <c r="I615" s="304">
        <f t="shared" ca="1" si="274"/>
        <v>107.45382694233575</v>
      </c>
      <c r="J615" s="306">
        <f t="shared" ca="1" si="275"/>
        <v>801.80453561289642</v>
      </c>
      <c r="K615" s="307">
        <f t="shared" ca="1" si="276"/>
        <v>441.7818693790914</v>
      </c>
      <c r="L615" s="304">
        <f t="shared" ca="1" si="261"/>
        <v>915.45711720511349</v>
      </c>
      <c r="M615" s="306">
        <f t="shared" ca="1" si="277"/>
        <v>-1.5496817411701589</v>
      </c>
      <c r="N615" s="304">
        <f t="shared" ca="1" si="278"/>
        <v>-88.790223357534927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1.7842999999999964</v>
      </c>
      <c r="T615" s="304">
        <f t="shared" ca="1" si="262"/>
        <v>17.503982999999966</v>
      </c>
      <c r="U615" s="311">
        <f t="shared" ca="1" si="263"/>
        <v>0</v>
      </c>
      <c r="V615" s="306">
        <f t="shared" ca="1" si="264"/>
        <v>1.172051309572963</v>
      </c>
      <c r="W615" s="304">
        <f t="shared" ca="1" si="265"/>
        <v>18.16592113180986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-0.36925803013114233</v>
      </c>
      <c r="AH615" s="304">
        <f t="shared" ca="1" si="289"/>
        <v>-10.17703086046671</v>
      </c>
    </row>
    <row r="616" spans="1:34" x14ac:dyDescent="0.2">
      <c r="A616" s="347">
        <f t="shared" ca="1" si="267"/>
        <v>0.1</v>
      </c>
      <c r="B616" s="304">
        <f t="shared" ca="1" si="268"/>
        <v>53.900000000000482</v>
      </c>
      <c r="D616" s="306">
        <f t="shared" ca="1" si="269"/>
        <v>-0.21495118378880798</v>
      </c>
      <c r="E616" s="307">
        <f t="shared" ca="1" si="270"/>
        <v>0.36870978241480046</v>
      </c>
      <c r="F616" s="304">
        <f t="shared" ca="1" si="271"/>
        <v>0.42679141868198262</v>
      </c>
      <c r="G616" s="306">
        <f t="shared" ca="1" si="272"/>
        <v>2.2471793302935628</v>
      </c>
      <c r="H616" s="307">
        <f t="shared" ca="1" si="273"/>
        <v>-107.39300401377078</v>
      </c>
      <c r="I616" s="304">
        <f t="shared" ca="1" si="274"/>
        <v>107.4165123528235</v>
      </c>
      <c r="J616" s="306">
        <f t="shared" ca="1" si="275"/>
        <v>802.03032830184475</v>
      </c>
      <c r="K616" s="307">
        <f t="shared" ca="1" si="276"/>
        <v>431.04072542880226</v>
      </c>
      <c r="L616" s="304">
        <f t="shared" ca="1" si="261"/>
        <v>910.52114445198526</v>
      </c>
      <c r="M616" s="306">
        <f t="shared" ca="1" si="277"/>
        <v>-1.5498745594725947</v>
      </c>
      <c r="N616" s="304">
        <f t="shared" ca="1" si="278"/>
        <v>-88.801271032477374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1.7842999999999964</v>
      </c>
      <c r="T616" s="304">
        <f t="shared" ca="1" si="262"/>
        <v>17.503982999999966</v>
      </c>
      <c r="U616" s="311">
        <f t="shared" ca="1" si="263"/>
        <v>0</v>
      </c>
      <c r="V616" s="306">
        <f t="shared" ca="1" si="264"/>
        <v>1.1733115034866437</v>
      </c>
      <c r="W616" s="304">
        <f t="shared" ca="1" si="265"/>
        <v>18.172825170855972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-0.37316586326000412</v>
      </c>
      <c r="AH616" s="304">
        <f t="shared" ca="1" si="289"/>
        <v>-10.18097916931564</v>
      </c>
    </row>
    <row r="617" spans="1:34" x14ac:dyDescent="0.2">
      <c r="A617" s="347">
        <f t="shared" ca="1" si="267"/>
        <v>0.1</v>
      </c>
      <c r="B617" s="304">
        <f t="shared" ca="1" si="268"/>
        <v>54.000000000000483</v>
      </c>
      <c r="D617" s="306">
        <f t="shared" ca="1" si="269"/>
        <v>-0.21306948550429194</v>
      </c>
      <c r="E617" s="307">
        <f t="shared" ca="1" si="270"/>
        <v>0.37261951928206116</v>
      </c>
      <c r="F617" s="304">
        <f t="shared" ca="1" si="271"/>
        <v>0.4292364287931047</v>
      </c>
      <c r="G617" s="306">
        <f t="shared" ca="1" si="272"/>
        <v>2.2258723817431334</v>
      </c>
      <c r="H617" s="307">
        <f t="shared" ca="1" si="273"/>
        <v>-107.35574206184258</v>
      </c>
      <c r="I617" s="304">
        <f t="shared" ca="1" si="274"/>
        <v>107.37881477045966</v>
      </c>
      <c r="J617" s="306">
        <f t="shared" ca="1" si="275"/>
        <v>802.25398088744657</v>
      </c>
      <c r="K617" s="307">
        <f t="shared" ca="1" si="276"/>
        <v>420.3032881250216</v>
      </c>
      <c r="L617" s="304">
        <f t="shared" ca="1" si="261"/>
        <v>905.68554358478104</v>
      </c>
      <c r="M617" s="306">
        <f t="shared" ca="1" si="277"/>
        <v>-1.5500656842920562</v>
      </c>
      <c r="N617" s="304">
        <f t="shared" ca="1" si="278"/>
        <v>-88.812221677992724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1.7842999999999964</v>
      </c>
      <c r="T617" s="304">
        <f t="shared" ca="1" si="262"/>
        <v>17.503982999999966</v>
      </c>
      <c r="U617" s="311">
        <f t="shared" ca="1" si="263"/>
        <v>0</v>
      </c>
      <c r="V617" s="306">
        <f t="shared" ca="1" si="264"/>
        <v>1.174572587567535</v>
      </c>
      <c r="W617" s="304">
        <f t="shared" ca="1" si="265"/>
        <v>18.179590567978117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>
        <f t="shared" ca="1" si="286"/>
        <v>54.000000000000483</v>
      </c>
      <c r="AD617" s="323">
        <f t="shared" ca="1" si="287"/>
        <v>802.25398088744657</v>
      </c>
      <c r="AE617" s="324" t="e">
        <f t="shared" ca="1" si="266"/>
        <v>#N/A</v>
      </c>
      <c r="AG617" s="306">
        <f t="shared" ca="1" si="288"/>
        <v>-0.37699543567935301</v>
      </c>
      <c r="AH617" s="304">
        <f t="shared" ca="1" si="289"/>
        <v>-10.18484849568795</v>
      </c>
    </row>
    <row r="618" spans="1:34" x14ac:dyDescent="0.2">
      <c r="A618" s="347">
        <f t="shared" ca="1" si="267"/>
        <v>0.1</v>
      </c>
      <c r="B618" s="304">
        <f t="shared" ca="1" si="268"/>
        <v>54.100000000000485</v>
      </c>
      <c r="D618" s="306">
        <f t="shared" ca="1" si="269"/>
        <v>-0.21120192750711897</v>
      </c>
      <c r="E618" s="307">
        <f t="shared" ca="1" si="270"/>
        <v>0.37645086681113327</v>
      </c>
      <c r="F618" s="304">
        <f t="shared" ca="1" si="271"/>
        <v>0.43164975304704617</v>
      </c>
      <c r="G618" s="306">
        <f t="shared" ca="1" si="272"/>
        <v>2.2047521889924213</v>
      </c>
      <c r="H618" s="307">
        <f t="shared" ca="1" si="273"/>
        <v>-107.31809697516147</v>
      </c>
      <c r="I618" s="304">
        <f t="shared" ca="1" si="274"/>
        <v>107.34074189507463</v>
      </c>
      <c r="J618" s="306">
        <f t="shared" ca="1" si="275"/>
        <v>802.47551211598341</v>
      </c>
      <c r="K618" s="307">
        <f t="shared" ca="1" si="276"/>
        <v>409.56959617317142</v>
      </c>
      <c r="L618" s="304">
        <f t="shared" ca="1" si="261"/>
        <v>900.95183092952561</v>
      </c>
      <c r="M618" s="306">
        <f t="shared" ca="1" si="277"/>
        <v>-1.5502551305678729</v>
      </c>
      <c r="N618" s="304">
        <f t="shared" ca="1" si="278"/>
        <v>-88.823076150041487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1.7842999999999964</v>
      </c>
      <c r="T618" s="304">
        <f t="shared" ca="1" si="262"/>
        <v>17.503982999999966</v>
      </c>
      <c r="U618" s="311">
        <f t="shared" ca="1" si="263"/>
        <v>0</v>
      </c>
      <c r="V618" s="306">
        <f t="shared" ca="1" si="264"/>
        <v>1.1758345579804672</v>
      </c>
      <c r="W618" s="304">
        <f t="shared" ca="1" si="265"/>
        <v>18.186219577088075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-0.38074801608808073</v>
      </c>
      <c r="AH618" s="304">
        <f t="shared" ca="1" si="289"/>
        <v>-10.188640121043633</v>
      </c>
    </row>
    <row r="619" spans="1:34" x14ac:dyDescent="0.2">
      <c r="A619" s="347">
        <f t="shared" ca="1" si="267"/>
        <v>0.1</v>
      </c>
      <c r="B619" s="304">
        <f t="shared" ca="1" si="268"/>
        <v>54.200000000000486</v>
      </c>
      <c r="D619" s="306">
        <f t="shared" ca="1" si="269"/>
        <v>-0.20934844757764462</v>
      </c>
      <c r="E619" s="307">
        <f t="shared" ca="1" si="270"/>
        <v>0.38020509919736512</v>
      </c>
      <c r="F619" s="304">
        <f t="shared" ca="1" si="271"/>
        <v>0.43403074771132066</v>
      </c>
      <c r="G619" s="306">
        <f t="shared" ca="1" si="272"/>
        <v>2.1838173442346567</v>
      </c>
      <c r="H619" s="307">
        <f t="shared" ca="1" si="273"/>
        <v>-107.28007646524173</v>
      </c>
      <c r="I619" s="304">
        <f t="shared" ca="1" si="274"/>
        <v>107.30230130142174</v>
      </c>
      <c r="J619" s="306">
        <f t="shared" ca="1" si="275"/>
        <v>802.6949405926448</v>
      </c>
      <c r="K619" s="307">
        <f t="shared" ca="1" si="276"/>
        <v>398.83968750115127</v>
      </c>
      <c r="L619" s="304">
        <f t="shared" ca="1" si="261"/>
        <v>896.32151819480805</v>
      </c>
      <c r="M619" s="306">
        <f t="shared" ca="1" si="277"/>
        <v>-1.5504429130881054</v>
      </c>
      <c r="N619" s="304">
        <f t="shared" ca="1" si="278"/>
        <v>-88.833835295917154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1.7842999999999964</v>
      </c>
      <c r="T619" s="304">
        <f t="shared" ca="1" si="262"/>
        <v>17.503982999999966</v>
      </c>
      <c r="U619" s="311">
        <f t="shared" ca="1" si="263"/>
        <v>0</v>
      </c>
      <c r="V619" s="306">
        <f t="shared" ca="1" si="264"/>
        <v>1.1770974109632053</v>
      </c>
      <c r="W619" s="304">
        <f t="shared" ca="1" si="265"/>
        <v>18.192714419856603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-0.38442485514501534</v>
      </c>
      <c r="AH619" s="304">
        <f t="shared" ca="1" si="289"/>
        <v>-10.192355308573733</v>
      </c>
    </row>
    <row r="620" spans="1:34" x14ac:dyDescent="0.2">
      <c r="A620" s="347">
        <f t="shared" ca="1" si="267"/>
        <v>0.1</v>
      </c>
      <c r="B620" s="304">
        <f t="shared" ca="1" si="268"/>
        <v>54.300000000000487</v>
      </c>
      <c r="D620" s="306">
        <f t="shared" ca="1" si="269"/>
        <v>-0.20750898270813686</v>
      </c>
      <c r="E620" s="307">
        <f t="shared" ca="1" si="270"/>
        <v>0.38388347240885956</v>
      </c>
      <c r="F620" s="304">
        <f t="shared" ca="1" si="271"/>
        <v>0.43637884721105524</v>
      </c>
      <c r="G620" s="306">
        <f t="shared" ca="1" si="272"/>
        <v>2.1630664459638429</v>
      </c>
      <c r="H620" s="307">
        <f t="shared" ca="1" si="273"/>
        <v>-107.24168811800085</v>
      </c>
      <c r="I620" s="304">
        <f t="shared" ca="1" si="274"/>
        <v>107.26350044096183</v>
      </c>
      <c r="J620" s="306">
        <f t="shared" ca="1" si="275"/>
        <v>802.91228478215476</v>
      </c>
      <c r="K620" s="307">
        <f t="shared" ca="1" si="276"/>
        <v>388.11359927198913</v>
      </c>
      <c r="L620" s="304">
        <f t="shared" ca="1" si="261"/>
        <v>891.79611066317068</v>
      </c>
      <c r="M620" s="306">
        <f t="shared" ca="1" si="277"/>
        <v>-1.5506290464916943</v>
      </c>
      <c r="N620" s="304">
        <f t="shared" ca="1" si="278"/>
        <v>-88.844499954369198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1.7842999999999964</v>
      </c>
      <c r="T620" s="304">
        <f t="shared" ca="1" si="262"/>
        <v>17.503982999999966</v>
      </c>
      <c r="U620" s="311">
        <f t="shared" ca="1" si="263"/>
        <v>0</v>
      </c>
      <c r="V620" s="306">
        <f t="shared" ca="1" si="264"/>
        <v>1.17836114282538</v>
      </c>
      <c r="W620" s="304">
        <f t="shared" ca="1" si="265"/>
        <v>18.199077286069013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-0.3880271856642441</v>
      </c>
      <c r="AH620" s="304">
        <f t="shared" ca="1" si="289"/>
        <v>-10.195995303400011</v>
      </c>
    </row>
    <row r="621" spans="1:34" x14ac:dyDescent="0.2">
      <c r="A621" s="347">
        <f t="shared" ca="1" si="267"/>
        <v>0.1</v>
      </c>
      <c r="B621" s="304">
        <f t="shared" ca="1" si="268"/>
        <v>54.400000000000489</v>
      </c>
      <c r="D621" s="306">
        <f t="shared" ca="1" si="269"/>
        <v>-0.20568346913699082</v>
      </c>
      <c r="E621" s="307">
        <f t="shared" ca="1" si="270"/>
        <v>0.38748722438753092</v>
      </c>
      <c r="F621" s="304">
        <f t="shared" ca="1" si="271"/>
        <v>0.43869355880817329</v>
      </c>
      <c r="G621" s="306">
        <f t="shared" ca="1" si="272"/>
        <v>2.1424980990501439</v>
      </c>
      <c r="H621" s="307">
        <f t="shared" ca="1" si="273"/>
        <v>-107.2029393955621</v>
      </c>
      <c r="I621" s="304">
        <f t="shared" ca="1" si="274"/>
        <v>107.22434664362844</v>
      </c>
      <c r="J621" s="306">
        <f t="shared" ca="1" si="275"/>
        <v>803.12756300940543</v>
      </c>
      <c r="K621" s="307">
        <f t="shared" ca="1" si="276"/>
        <v>377.39136789631095</v>
      </c>
      <c r="L621" s="304">
        <f t="shared" ca="1" si="261"/>
        <v>887.37710530984236</v>
      </c>
      <c r="M621" s="306">
        <f t="shared" ca="1" si="277"/>
        <v>-1.550813545270568</v>
      </c>
      <c r="N621" s="304">
        <f t="shared" ca="1" si="278"/>
        <v>-88.855070955723974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1.7842999999999964</v>
      </c>
      <c r="T621" s="304">
        <f t="shared" ca="1" si="262"/>
        <v>17.503982999999966</v>
      </c>
      <c r="U621" s="311">
        <f t="shared" ca="1" si="263"/>
        <v>0</v>
      </c>
      <c r="V621" s="306">
        <f t="shared" ca="1" si="264"/>
        <v>1.1796257499474325</v>
      </c>
      <c r="W621" s="304">
        <f t="shared" ca="1" si="265"/>
        <v>18.205310333980137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-0.39155622281013969</v>
      </c>
      <c r="AH621" s="304">
        <f t="shared" ca="1" si="289"/>
        <v>-10.199561332774225</v>
      </c>
    </row>
    <row r="622" spans="1:34" x14ac:dyDescent="0.2">
      <c r="A622" s="347">
        <f t="shared" ca="1" si="267"/>
        <v>0.1</v>
      </c>
      <c r="B622" s="304">
        <f t="shared" ca="1" si="268"/>
        <v>54.50000000000049</v>
      </c>
      <c r="D622" s="306">
        <f t="shared" ca="1" si="269"/>
        <v>-0.20387184238209899</v>
      </c>
      <c r="E622" s="307">
        <f t="shared" ca="1" si="270"/>
        <v>0.39101757524980485</v>
      </c>
      <c r="F622" s="304">
        <f t="shared" ca="1" si="271"/>
        <v>0.44097445761688758</v>
      </c>
      <c r="G622" s="306">
        <f t="shared" ca="1" si="272"/>
        <v>2.1221109148119339</v>
      </c>
      <c r="H622" s="307">
        <f t="shared" ca="1" si="273"/>
        <v>-107.16383763803712</v>
      </c>
      <c r="I622" s="304">
        <f t="shared" ca="1" si="274"/>
        <v>107.18484711957352</v>
      </c>
      <c r="J622" s="306">
        <f t="shared" ca="1" si="275"/>
        <v>803.34079346009855</v>
      </c>
      <c r="K622" s="307">
        <f t="shared" ca="1" si="276"/>
        <v>366.67302904463099</v>
      </c>
      <c r="L622" s="304">
        <f t="shared" ca="1" si="261"/>
        <v>883.06598885126675</v>
      </c>
      <c r="M622" s="306">
        <f t="shared" ca="1" si="277"/>
        <v>-1.5509964237717069</v>
      </c>
      <c r="N622" s="304">
        <f t="shared" ca="1" si="278"/>
        <v>-88.865549122002918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1.7842999999999964</v>
      </c>
      <c r="T622" s="304">
        <f t="shared" ca="1" si="262"/>
        <v>17.503982999999966</v>
      </c>
      <c r="U622" s="311">
        <f t="shared" ca="1" si="263"/>
        <v>0</v>
      </c>
      <c r="V622" s="306">
        <f t="shared" ca="1" si="264"/>
        <v>1.1808912287795741</v>
      </c>
      <c r="W622" s="304">
        <f t="shared" ca="1" si="265"/>
        <v>18.211415690668513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-0.39501316429215017</v>
      </c>
      <c r="AH622" s="304">
        <f t="shared" ca="1" si="289"/>
        <v>-10.203054606277068</v>
      </c>
    </row>
    <row r="623" spans="1:34" x14ac:dyDescent="0.2">
      <c r="A623" s="347">
        <f t="shared" ca="1" si="267"/>
        <v>0.1</v>
      </c>
      <c r="B623" s="304">
        <f t="shared" ca="1" si="268"/>
        <v>54.600000000000492</v>
      </c>
      <c r="D623" s="306">
        <f t="shared" ca="1" si="269"/>
        <v>-0.20207403727343851</v>
      </c>
      <c r="E623" s="307">
        <f t="shared" ca="1" si="270"/>
        <v>0.39447572748689907</v>
      </c>
      <c r="F623" s="304">
        <f t="shared" ca="1" si="271"/>
        <v>0.44322118193550414</v>
      </c>
      <c r="G623" s="306">
        <f t="shared" ca="1" si="272"/>
        <v>2.1019035110845903</v>
      </c>
      <c r="H623" s="307">
        <f t="shared" ca="1" si="273"/>
        <v>-107.12439006528844</v>
      </c>
      <c r="I623" s="304">
        <f t="shared" ca="1" si="274"/>
        <v>107.14500896089363</v>
      </c>
      <c r="J623" s="306">
        <f t="shared" ca="1" si="275"/>
        <v>803.55199418139341</v>
      </c>
      <c r="K623" s="307">
        <f t="shared" ca="1" si="276"/>
        <v>355.95861765946472</v>
      </c>
      <c r="L623" s="304">
        <f t="shared" ca="1" si="261"/>
        <v>878.86423572638967</v>
      </c>
      <c r="M623" s="306">
        <f t="shared" ca="1" si="277"/>
        <v>-1.5511776961991668</v>
      </c>
      <c r="N623" s="304">
        <f t="shared" ca="1" si="278"/>
        <v>-88.875935267038457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1.7842999999999964</v>
      </c>
      <c r="T623" s="304">
        <f t="shared" ca="1" si="262"/>
        <v>17.503982999999966</v>
      </c>
      <c r="U623" s="311">
        <f t="shared" ca="1" si="263"/>
        <v>0</v>
      </c>
      <c r="V623" s="306">
        <f t="shared" ca="1" si="264"/>
        <v>1.182157575840761</v>
      </c>
      <c r="W623" s="304">
        <f t="shared" ca="1" si="265"/>
        <v>18.217395452389585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-0.39839919055921058</v>
      </c>
      <c r="AH623" s="304">
        <f t="shared" ca="1" si="289"/>
        <v>-10.206476316016673</v>
      </c>
    </row>
    <row r="624" spans="1:34" x14ac:dyDescent="0.2">
      <c r="A624" s="347">
        <f t="shared" ca="1" si="267"/>
        <v>0.1</v>
      </c>
      <c r="B624" s="304">
        <f t="shared" ca="1" si="268"/>
        <v>54.700000000000493</v>
      </c>
      <c r="D624" s="306">
        <f t="shared" ca="1" si="269"/>
        <v>-0.20028998798485165</v>
      </c>
      <c r="E624" s="307">
        <f t="shared" ca="1" si="270"/>
        <v>0.39786286616450894</v>
      </c>
      <c r="F624" s="304">
        <f t="shared" ca="1" si="271"/>
        <v>0.44543342887530341</v>
      </c>
      <c r="G624" s="306">
        <f t="shared" ca="1" si="272"/>
        <v>2.0818745122861051</v>
      </c>
      <c r="H624" s="307">
        <f t="shared" ca="1" si="273"/>
        <v>-107.08460377867199</v>
      </c>
      <c r="I624" s="304">
        <f t="shared" ca="1" si="274"/>
        <v>107.10483914333692</v>
      </c>
      <c r="J624" s="306">
        <f t="shared" ca="1" si="275"/>
        <v>803.76118308256196</v>
      </c>
      <c r="K624" s="307">
        <f t="shared" ca="1" si="276"/>
        <v>345.24816796726668</v>
      </c>
      <c r="L624" s="304">
        <f t="shared" ca="1" si="261"/>
        <v>874.7733060142117</v>
      </c>
      <c r="M624" s="306">
        <f t="shared" ca="1" si="277"/>
        <v>-1.5513573766160611</v>
      </c>
      <c r="N624" s="304">
        <f t="shared" ca="1" si="278"/>
        <v>-88.886230196587647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1.7842999999999964</v>
      </c>
      <c r="T624" s="304">
        <f t="shared" ca="1" si="262"/>
        <v>17.503982999999966</v>
      </c>
      <c r="U624" s="311">
        <f t="shared" ca="1" si="263"/>
        <v>0</v>
      </c>
      <c r="V624" s="306">
        <f t="shared" ca="1" si="264"/>
        <v>1.183424787717676</v>
      </c>
      <c r="W624" s="304">
        <f t="shared" ca="1" si="265"/>
        <v>18.223251684927952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 t="e">
        <f t="shared" ca="1" si="286"/>
        <v>#N/A</v>
      </c>
      <c r="AD624" s="323" t="e">
        <f t="shared" ca="1" si="287"/>
        <v>#N/A</v>
      </c>
      <c r="AE624" s="324" t="e">
        <f t="shared" ca="1" si="266"/>
        <v>#N/A</v>
      </c>
      <c r="AG624" s="306">
        <f t="shared" ca="1" si="288"/>
        <v>-0.40171546499371402</v>
      </c>
      <c r="AH624" s="304">
        <f t="shared" ca="1" si="289"/>
        <v>-10.209827636826555</v>
      </c>
    </row>
    <row r="625" spans="1:34" x14ac:dyDescent="0.2">
      <c r="A625" s="347">
        <f t="shared" ca="1" si="267"/>
        <v>0.1</v>
      </c>
      <c r="B625" s="304">
        <f t="shared" ca="1" si="268"/>
        <v>54.800000000000495</v>
      </c>
      <c r="D625" s="306">
        <f t="shared" ca="1" si="269"/>
        <v>-0.19851962806507306</v>
      </c>
      <c r="E625" s="307">
        <f t="shared" ca="1" si="270"/>
        <v>0.40118015912199567</v>
      </c>
      <c r="F625" s="304">
        <f t="shared" ca="1" si="271"/>
        <v>0.44761095026847225</v>
      </c>
      <c r="G625" s="306">
        <f t="shared" ca="1" si="272"/>
        <v>2.0620225494795976</v>
      </c>
      <c r="H625" s="307">
        <f t="shared" ca="1" si="273"/>
        <v>-107.04448576275979</v>
      </c>
      <c r="I625" s="304">
        <f t="shared" ca="1" si="274"/>
        <v>107.06434452799049</v>
      </c>
      <c r="J625" s="306">
        <f t="shared" ca="1" si="275"/>
        <v>803.96837793565021</v>
      </c>
      <c r="K625" s="307">
        <f t="shared" ca="1" si="276"/>
        <v>334.54171349019509</v>
      </c>
      <c r="L625" s="304">
        <f t="shared" ca="1" si="261"/>
        <v>870.79464329165251</v>
      </c>
      <c r="M625" s="306">
        <f t="shared" ca="1" si="277"/>
        <v>-1.5515354789465046</v>
      </c>
      <c r="N625" s="304">
        <f t="shared" ca="1" si="278"/>
        <v>-88.896434708443508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1.7842999999999964</v>
      </c>
      <c r="T625" s="304">
        <f t="shared" ca="1" si="262"/>
        <v>17.503982999999966</v>
      </c>
      <c r="U625" s="311">
        <f t="shared" ca="1" si="263"/>
        <v>0</v>
      </c>
      <c r="V625" s="306">
        <f t="shared" ca="1" si="264"/>
        <v>1.1846928610637326</v>
      </c>
      <c r="W625" s="304">
        <f t="shared" ca="1" si="265"/>
        <v>18.22898642394842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-0.40496313410502793</v>
      </c>
      <c r="AH625" s="304">
        <f t="shared" ca="1" si="289"/>
        <v>-10.213109726463033</v>
      </c>
    </row>
    <row r="626" spans="1:34" x14ac:dyDescent="0.2">
      <c r="A626" s="347">
        <f t="shared" ca="1" si="267"/>
        <v>0.1</v>
      </c>
      <c r="B626" s="304">
        <f t="shared" ca="1" si="268"/>
        <v>54.900000000000496</v>
      </c>
      <c r="D626" s="306">
        <f t="shared" ca="1" si="269"/>
        <v>-0.19676289046797937</v>
      </c>
      <c r="E626" s="307">
        <f t="shared" ca="1" si="270"/>
        <v>0.40442875717085514</v>
      </c>
      <c r="F626" s="304">
        <f t="shared" ca="1" si="271"/>
        <v>0.44975354883766794</v>
      </c>
      <c r="G626" s="306">
        <f t="shared" ca="1" si="272"/>
        <v>2.0423462604327995</v>
      </c>
      <c r="H626" s="307">
        <f t="shared" ca="1" si="273"/>
        <v>-107.0040428870427</v>
      </c>
      <c r="I626" s="304">
        <f t="shared" ca="1" si="274"/>
        <v>107.0235318629486</v>
      </c>
      <c r="J626" s="306">
        <f t="shared" ca="1" si="275"/>
        <v>804.17359637614584</v>
      </c>
      <c r="K626" s="307">
        <f t="shared" ca="1" si="276"/>
        <v>323.83928705770495</v>
      </c>
      <c r="L626" s="304">
        <f t="shared" ca="1" si="261"/>
        <v>866.92967243634416</v>
      </c>
      <c r="M626" s="306">
        <f t="shared" ca="1" si="277"/>
        <v>-1.5517120169775172</v>
      </c>
      <c r="N626" s="304">
        <f t="shared" ca="1" si="278"/>
        <v>-88.906549592544081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1.7842999999999964</v>
      </c>
      <c r="T626" s="304">
        <f t="shared" ca="1" si="262"/>
        <v>17.503982999999966</v>
      </c>
      <c r="U626" s="311">
        <f t="shared" ca="1" si="263"/>
        <v>0</v>
      </c>
      <c r="V626" s="306">
        <f t="shared" ca="1" si="264"/>
        <v>1.1859617925980837</v>
      </c>
      <c r="W626" s="304">
        <f t="shared" ca="1" si="265"/>
        <v>18.234601675345736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-0.40814332772240469</v>
      </c>
      <c r="AH626" s="304">
        <f t="shared" ca="1" si="289"/>
        <v>-10.216323725801971</v>
      </c>
    </row>
    <row r="627" spans="1:34" x14ac:dyDescent="0.2">
      <c r="A627" s="347">
        <f t="shared" ca="1" si="267"/>
        <v>0.1</v>
      </c>
      <c r="B627" s="304">
        <f t="shared" ca="1" si="268"/>
        <v>55.000000000000497</v>
      </c>
      <c r="D627" s="306">
        <f t="shared" ca="1" si="269"/>
        <v>-0.19501970758211179</v>
      </c>
      <c r="E627" s="307">
        <f t="shared" ca="1" si="270"/>
        <v>0.40760979429248145</v>
      </c>
      <c r="F627" s="304">
        <f t="shared" ca="1" si="271"/>
        <v>0.45186107461095987</v>
      </c>
      <c r="G627" s="306">
        <f t="shared" ca="1" si="272"/>
        <v>2.0228442896745884</v>
      </c>
      <c r="H627" s="307">
        <f t="shared" ca="1" si="273"/>
        <v>-106.96328190761345</v>
      </c>
      <c r="I627" s="304">
        <f t="shared" ca="1" si="274"/>
        <v>106.98240778496181</v>
      </c>
      <c r="J627" s="306">
        <f t="shared" ca="1" si="275"/>
        <v>804.37685590365118</v>
      </c>
      <c r="K627" s="307">
        <f t="shared" ca="1" si="276"/>
        <v>313.14092081797213</v>
      </c>
      <c r="L627" s="304">
        <f t="shared" ca="1" si="261"/>
        <v>863.17979737953249</v>
      </c>
      <c r="M627" s="306">
        <f t="shared" ca="1" si="277"/>
        <v>-1.5518870043608923</v>
      </c>
      <c r="N627" s="304">
        <f t="shared" ca="1" si="278"/>
        <v>-88.91657563107951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1.7842999999999964</v>
      </c>
      <c r="T627" s="304">
        <f t="shared" ca="1" si="262"/>
        <v>17.503982999999966</v>
      </c>
      <c r="U627" s="311">
        <f t="shared" ca="1" si="263"/>
        <v>0</v>
      </c>
      <c r="V627" s="306">
        <f t="shared" ca="1" si="264"/>
        <v>1.187231579104649</v>
      </c>
      <c r="W627" s="304">
        <f t="shared" ca="1" si="265"/>
        <v>18.2400994155931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>
        <f t="shared" ca="1" si="286"/>
        <v>55.000000000000497</v>
      </c>
      <c r="AD627" s="323">
        <f t="shared" ca="1" si="287"/>
        <v>804.37685590365118</v>
      </c>
      <c r="AE627" s="324" t="e">
        <f t="shared" ca="1" si="266"/>
        <v>#N/A</v>
      </c>
      <c r="AG627" s="306">
        <f t="shared" ca="1" si="288"/>
        <v>-0.41125715918725092</v>
      </c>
      <c r="AH627" s="304">
        <f t="shared" ca="1" si="289"/>
        <v>-10.219470759034788</v>
      </c>
    </row>
    <row r="628" spans="1:34" x14ac:dyDescent="0.2">
      <c r="A628" s="347">
        <f t="shared" ca="1" si="267"/>
        <v>0.1</v>
      </c>
      <c r="B628" s="304">
        <f t="shared" ca="1" si="268"/>
        <v>55.100000000000499</v>
      </c>
      <c r="D628" s="306">
        <f t="shared" ca="1" si="269"/>
        <v>-0.19329001125944875</v>
      </c>
      <c r="E628" s="307">
        <f t="shared" ca="1" si="270"/>
        <v>0.41072438783520582</v>
      </c>
      <c r="F628" s="304">
        <f t="shared" ca="1" si="271"/>
        <v>0.45393342156673416</v>
      </c>
      <c r="G628" s="306">
        <f t="shared" ca="1" si="272"/>
        <v>2.0035152885486434</v>
      </c>
      <c r="H628" s="307">
        <f t="shared" ca="1" si="273"/>
        <v>-106.92220946882993</v>
      </c>
      <c r="I628" s="304">
        <f t="shared" ca="1" si="274"/>
        <v>106.94097882106649</v>
      </c>
      <c r="J628" s="306">
        <f t="shared" ca="1" si="275"/>
        <v>804.57817388256228</v>
      </c>
      <c r="K628" s="307">
        <f t="shared" ca="1" si="276"/>
        <v>302.44664624914998</v>
      </c>
      <c r="L628" s="304">
        <f t="shared" ca="1" si="261"/>
        <v>859.54639881483831</v>
      </c>
      <c r="M628" s="306">
        <f t="shared" ca="1" si="277"/>
        <v>-1.5520604546150263</v>
      </c>
      <c r="N628" s="304">
        <f t="shared" ca="1" si="278"/>
        <v>-88.926513598596856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1.7842999999999964</v>
      </c>
      <c r="T628" s="304">
        <f t="shared" ca="1" si="262"/>
        <v>17.503982999999966</v>
      </c>
      <c r="U628" s="311">
        <f t="shared" ca="1" si="263"/>
        <v>0</v>
      </c>
      <c r="V628" s="306">
        <f t="shared" ca="1" si="264"/>
        <v>1.188502217431153</v>
      </c>
      <c r="W628" s="304">
        <f t="shared" ca="1" si="265"/>
        <v>18.245481592089064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-0.41430572554478395</v>
      </c>
      <c r="AH628" s="304">
        <f t="shared" ca="1" si="289"/>
        <v>-10.222551933863777</v>
      </c>
    </row>
    <row r="629" spans="1:34" x14ac:dyDescent="0.2">
      <c r="A629" s="347">
        <f t="shared" ca="1" si="267"/>
        <v>0.1</v>
      </c>
      <c r="B629" s="304">
        <f t="shared" ca="1" si="268"/>
        <v>55.2000000000005</v>
      </c>
      <c r="D629" s="306">
        <f t="shared" ca="1" si="269"/>
        <v>-0.19157373284348592</v>
      </c>
      <c r="E629" s="307">
        <f t="shared" ca="1" si="270"/>
        <v>0.41377363871044004</v>
      </c>
      <c r="F629" s="304">
        <f t="shared" ca="1" si="271"/>
        <v>0.455970524493925</v>
      </c>
      <c r="G629" s="306">
        <f t="shared" ca="1" si="272"/>
        <v>1.9843579152642947</v>
      </c>
      <c r="H629" s="307">
        <f t="shared" ca="1" si="273"/>
        <v>-106.88083210495888</v>
      </c>
      <c r="I629" s="304">
        <f t="shared" ca="1" si="274"/>
        <v>106.89925139019581</v>
      </c>
      <c r="J629" s="306">
        <f t="shared" ca="1" si="275"/>
        <v>804.77756754275288</v>
      </c>
      <c r="K629" s="307">
        <f t="shared" ca="1" si="276"/>
        <v>291.75649417046054</v>
      </c>
      <c r="L629" s="304">
        <f t="shared" ca="1" si="261"/>
        <v>856.03083186919628</v>
      </c>
      <c r="M629" s="306">
        <f t="shared" ca="1" si="277"/>
        <v>-1.5522323811267131</v>
      </c>
      <c r="N629" s="304">
        <f t="shared" ca="1" si="278"/>
        <v>-88.936364262102927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1.7842999999999964</v>
      </c>
      <c r="T629" s="304">
        <f t="shared" ca="1" si="262"/>
        <v>17.503982999999966</v>
      </c>
      <c r="U629" s="311">
        <f t="shared" ca="1" si="263"/>
        <v>0</v>
      </c>
      <c r="V629" s="306">
        <f t="shared" ca="1" si="264"/>
        <v>1.1897737044881755</v>
      </c>
      <c r="W629" s="304">
        <f t="shared" ca="1" si="265"/>
        <v>18.250750123503007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-0.4172901077348552</v>
      </c>
      <c r="AH629" s="304">
        <f t="shared" ca="1" si="289"/>
        <v>-10.225568341696519</v>
      </c>
    </row>
    <row r="630" spans="1:34" x14ac:dyDescent="0.2">
      <c r="A630" s="347">
        <f t="shared" ca="1" si="267"/>
        <v>0.1</v>
      </c>
      <c r="B630" s="304">
        <f t="shared" ca="1" si="268"/>
        <v>55.300000000000502</v>
      </c>
      <c r="D630" s="306">
        <f t="shared" ca="1" si="269"/>
        <v>-0.18987080319659685</v>
      </c>
      <c r="E630" s="307">
        <f t="shared" ca="1" si="270"/>
        <v>0.4167586315880083</v>
      </c>
      <c r="F630" s="304">
        <f t="shared" ca="1" si="271"/>
        <v>0.45797235605397629</v>
      </c>
      <c r="G630" s="306">
        <f t="shared" ca="1" si="272"/>
        <v>1.965370834944635</v>
      </c>
      <c r="H630" s="307">
        <f t="shared" ca="1" si="273"/>
        <v>-106.83915624180008</v>
      </c>
      <c r="I630" s="304">
        <f t="shared" ca="1" si="274"/>
        <v>106.85723180477127</v>
      </c>
      <c r="J630" s="306">
        <f t="shared" ca="1" si="275"/>
        <v>804.97505398026328</v>
      </c>
      <c r="K630" s="307">
        <f t="shared" ca="1" si="276"/>
        <v>281.0704947531226</v>
      </c>
      <c r="L630" s="304">
        <f t="shared" ca="1" si="261"/>
        <v>852.63442374284466</v>
      </c>
      <c r="M630" s="306">
        <f t="shared" ca="1" si="277"/>
        <v>-1.5524027971529051</v>
      </c>
      <c r="N630" s="304">
        <f t="shared" ca="1" si="278"/>
        <v>-88.94612838116511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1.7842999999999964</v>
      </c>
      <c r="T630" s="304">
        <f t="shared" ca="1" si="262"/>
        <v>17.503982999999966</v>
      </c>
      <c r="U630" s="311">
        <f t="shared" ca="1" si="263"/>
        <v>0</v>
      </c>
      <c r="V630" s="306">
        <f t="shared" ca="1" si="264"/>
        <v>1.1910460372482163</v>
      </c>
      <c r="W630" s="304">
        <f t="shared" ca="1" si="265"/>
        <v>18.255906900118898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-0.42021137078206827</v>
      </c>
      <c r="AH630" s="304">
        <f t="shared" ca="1" si="289"/>
        <v>-10.228521057839513</v>
      </c>
    </row>
    <row r="631" spans="1:34" x14ac:dyDescent="0.2">
      <c r="A631" s="347">
        <f t="shared" ca="1" si="267"/>
        <v>0.1</v>
      </c>
      <c r="B631" s="304">
        <f t="shared" ca="1" si="268"/>
        <v>55.400000000000503</v>
      </c>
      <c r="D631" s="306">
        <f t="shared" ca="1" si="269"/>
        <v>-0.18818115272670558</v>
      </c>
      <c r="E631" s="307">
        <f t="shared" ca="1" si="270"/>
        <v>0.41968043509050901</v>
      </c>
      <c r="F631" s="304">
        <f t="shared" ca="1" si="271"/>
        <v>0.45993892403156167</v>
      </c>
      <c r="G631" s="306">
        <f t="shared" ca="1" si="272"/>
        <v>1.9465527196719645</v>
      </c>
      <c r="H631" s="307">
        <f t="shared" ca="1" si="273"/>
        <v>-106.79718819829104</v>
      </c>
      <c r="I631" s="304">
        <f t="shared" ca="1" si="274"/>
        <v>106.81492627227553</v>
      </c>
      <c r="J631" s="306">
        <f t="shared" ca="1" si="275"/>
        <v>805.17065015799415</v>
      </c>
      <c r="K631" s="307">
        <f t="shared" ca="1" si="276"/>
        <v>270.38867753111805</v>
      </c>
      <c r="L631" s="304">
        <f t="shared" ca="1" si="261"/>
        <v>849.35847132578476</v>
      </c>
      <c r="M631" s="306">
        <f t="shared" ca="1" si="277"/>
        <v>-1.5525717158224366</v>
      </c>
      <c r="N631" s="304">
        <f t="shared" ca="1" si="278"/>
        <v>-88.955806708010229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1.7842999999999964</v>
      </c>
      <c r="T631" s="304">
        <f t="shared" ca="1" si="262"/>
        <v>17.503982999999966</v>
      </c>
      <c r="U631" s="311">
        <f t="shared" ca="1" si="263"/>
        <v>0</v>
      </c>
      <c r="V631" s="306">
        <f t="shared" ca="1" si="264"/>
        <v>1.192319212744769</v>
      </c>
      <c r="W631" s="304">
        <f t="shared" ca="1" si="265"/>
        <v>18.260953784177321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-0.42307056398496634</v>
      </c>
      <c r="AH631" s="304">
        <f t="shared" ca="1" si="289"/>
        <v>-10.231411141690822</v>
      </c>
    </row>
    <row r="632" spans="1:34" x14ac:dyDescent="0.2">
      <c r="A632" s="347">
        <f t="shared" ca="1" si="267"/>
        <v>0.1</v>
      </c>
      <c r="B632" s="304">
        <f t="shared" ca="1" si="268"/>
        <v>55.500000000000504</v>
      </c>
      <c r="D632" s="306">
        <f t="shared" ca="1" si="269"/>
        <v>-0.18650471141330388</v>
      </c>
      <c r="E632" s="307">
        <f t="shared" ca="1" si="270"/>
        <v>0.42254010198669789</v>
      </c>
      <c r="F632" s="304">
        <f t="shared" ca="1" si="271"/>
        <v>0.46187026876200726</v>
      </c>
      <c r="G632" s="306">
        <f t="shared" ca="1" si="272"/>
        <v>1.9279022485306341</v>
      </c>
      <c r="H632" s="307">
        <f t="shared" ca="1" si="273"/>
        <v>-106.75493418809236</v>
      </c>
      <c r="I632" s="304">
        <f t="shared" ca="1" si="274"/>
        <v>106.77234089680633</v>
      </c>
      <c r="J632" s="306">
        <f t="shared" ca="1" si="275"/>
        <v>805.36437290640424</v>
      </c>
      <c r="K632" s="307">
        <f t="shared" ca="1" si="276"/>
        <v>259.71107141179886</v>
      </c>
      <c r="L632" s="304">
        <f t="shared" ca="1" si="261"/>
        <v>846.20423879864268</v>
      </c>
      <c r="M632" s="306">
        <f t="shared" ca="1" si="277"/>
        <v>-1.5527391501377179</v>
      </c>
      <c r="N632" s="304">
        <f t="shared" ca="1" si="278"/>
        <v>-88.96539998762151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1.7842999999999964</v>
      </c>
      <c r="T632" s="304">
        <f t="shared" ca="1" si="262"/>
        <v>17.503982999999966</v>
      </c>
      <c r="U632" s="311">
        <f t="shared" ca="1" si="263"/>
        <v>0</v>
      </c>
      <c r="V632" s="306">
        <f t="shared" ca="1" si="264"/>
        <v>1.1935932280714125</v>
      </c>
      <c r="W632" s="304">
        <f t="shared" ca="1" si="265"/>
        <v>18.265892610215765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-0.42586872110437213</v>
      </c>
      <c r="AH632" s="304">
        <f t="shared" ca="1" si="289"/>
        <v>-10.23423963693177</v>
      </c>
    </row>
    <row r="633" spans="1:34" x14ac:dyDescent="0.2">
      <c r="A633" s="347">
        <f t="shared" ca="1" si="267"/>
        <v>0.1</v>
      </c>
      <c r="B633" s="304">
        <f t="shared" ca="1" si="268"/>
        <v>55.600000000000506</v>
      </c>
      <c r="D633" s="306">
        <f t="shared" ca="1" si="269"/>
        <v>-0.1848414088327803</v>
      </c>
      <c r="E633" s="307">
        <f t="shared" ca="1" si="270"/>
        <v>0.42533866938389053</v>
      </c>
      <c r="F633" s="304">
        <f t="shared" ca="1" si="271"/>
        <v>0.46376646072408639</v>
      </c>
      <c r="G633" s="306">
        <f t="shared" ca="1" si="272"/>
        <v>1.909418107647356</v>
      </c>
      <c r="H633" s="307">
        <f t="shared" ca="1" si="273"/>
        <v>-106.71240032115398</v>
      </c>
      <c r="I633" s="304">
        <f t="shared" ca="1" si="274"/>
        <v>106.72948168061173</v>
      </c>
      <c r="J633" s="306">
        <f t="shared" ca="1" si="275"/>
        <v>805.55623892421318</v>
      </c>
      <c r="K633" s="307">
        <f t="shared" ca="1" si="276"/>
        <v>249.03770468633653</v>
      </c>
      <c r="L633" s="304">
        <f t="shared" ca="1" si="261"/>
        <v>843.17295522636573</v>
      </c>
      <c r="M633" s="306">
        <f t="shared" ca="1" si="277"/>
        <v>-1.5529051129763942</v>
      </c>
      <c r="N633" s="304">
        <f t="shared" ca="1" si="278"/>
        <v>-88.974908957833676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1.7842999999999964</v>
      </c>
      <c r="T633" s="304">
        <f t="shared" ca="1" si="262"/>
        <v>17.503982999999966</v>
      </c>
      <c r="U633" s="311">
        <f t="shared" ca="1" si="263"/>
        <v>0</v>
      </c>
      <c r="V633" s="306">
        <f t="shared" ca="1" si="264"/>
        <v>1.1948680803809104</v>
      </c>
      <c r="W633" s="304">
        <f t="shared" ca="1" si="265"/>
        <v>18.270725185406988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-0.42860686055078467</v>
      </c>
      <c r="AH633" s="304">
        <f t="shared" ca="1" si="289"/>
        <v>-10.237007571717649</v>
      </c>
    </row>
    <row r="634" spans="1:34" x14ac:dyDescent="0.2">
      <c r="A634" s="347">
        <f t="shared" ca="1" si="267"/>
        <v>0.1</v>
      </c>
      <c r="B634" s="304">
        <f t="shared" ca="1" si="268"/>
        <v>55.700000000000507</v>
      </c>
      <c r="D634" s="306">
        <f t="shared" ca="1" si="269"/>
        <v>-0.18319117418311986</v>
      </c>
      <c r="E634" s="307">
        <f t="shared" ca="1" si="270"/>
        <v>0.42807715891925824</v>
      </c>
      <c r="F634" s="304">
        <f t="shared" ca="1" si="271"/>
        <v>0.46562759828748773</v>
      </c>
      <c r="G634" s="306">
        <f t="shared" ca="1" si="272"/>
        <v>1.891098990229044</v>
      </c>
      <c r="H634" s="307">
        <f t="shared" ca="1" si="273"/>
        <v>-106.66959260526205</v>
      </c>
      <c r="I634" s="304">
        <f t="shared" ca="1" si="274"/>
        <v>106.68635452560662</v>
      </c>
      <c r="J634" s="306">
        <f t="shared" ca="1" si="275"/>
        <v>805.74626477910704</v>
      </c>
      <c r="K634" s="307">
        <f t="shared" ca="1" si="276"/>
        <v>238.36860504001572</v>
      </c>
      <c r="L634" s="304">
        <f t="shared" ca="1" si="261"/>
        <v>840.26581215363387</v>
      </c>
      <c r="M634" s="306">
        <f t="shared" ca="1" si="277"/>
        <v>-1.5530696170929739</v>
      </c>
      <c r="N634" s="304">
        <f t="shared" ca="1" si="278"/>
        <v>-88.98433434942622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1.7842999999999964</v>
      </c>
      <c r="T634" s="304">
        <f t="shared" ca="1" si="262"/>
        <v>17.503982999999966</v>
      </c>
      <c r="U634" s="311">
        <f t="shared" ca="1" si="263"/>
        <v>0</v>
      </c>
      <c r="V634" s="306">
        <f t="shared" ca="1" si="264"/>
        <v>1.1961437668843227</v>
      </c>
      <c r="W634" s="304">
        <f t="shared" ca="1" si="265"/>
        <v>18.275453289895403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 t="e">
        <f t="shared" ca="1" si="286"/>
        <v>#N/A</v>
      </c>
      <c r="AD634" s="323" t="e">
        <f t="shared" ca="1" si="287"/>
        <v>#N/A</v>
      </c>
      <c r="AE634" s="324" t="e">
        <f t="shared" ca="1" si="266"/>
        <v>#N/A</v>
      </c>
      <c r="AG634" s="306">
        <f t="shared" ca="1" si="288"/>
        <v>-0.43128598557077424</v>
      </c>
      <c r="AH634" s="304">
        <f t="shared" ca="1" si="289"/>
        <v>-10.239715958867357</v>
      </c>
    </row>
    <row r="635" spans="1:34" x14ac:dyDescent="0.2">
      <c r="A635" s="347">
        <f t="shared" ca="1" si="267"/>
        <v>0.1</v>
      </c>
      <c r="B635" s="304">
        <f t="shared" ca="1" si="268"/>
        <v>55.800000000000509</v>
      </c>
      <c r="D635" s="306">
        <f t="shared" ca="1" si="269"/>
        <v>-0.18155393630795943</v>
      </c>
      <c r="E635" s="307">
        <f t="shared" ca="1" si="270"/>
        <v>0.43075657695003144</v>
      </c>
      <c r="F635" s="304">
        <f t="shared" ca="1" si="271"/>
        <v>0.46745380560502764</v>
      </c>
      <c r="G635" s="306">
        <f t="shared" ca="1" si="272"/>
        <v>1.8729435965982482</v>
      </c>
      <c r="H635" s="307">
        <f t="shared" ca="1" si="273"/>
        <v>-106.62651694756705</v>
      </c>
      <c r="I635" s="304">
        <f t="shared" ca="1" si="274"/>
        <v>106.64296523487072</v>
      </c>
      <c r="J635" s="306">
        <f t="shared" ca="1" si="275"/>
        <v>805.93446690844837</v>
      </c>
      <c r="K635" s="307">
        <f t="shared" ca="1" si="276"/>
        <v>227.70379956237426</v>
      </c>
      <c r="L635" s="304">
        <f t="shared" ca="1" si="261"/>
        <v>837.48396121128599</v>
      </c>
      <c r="M635" s="306">
        <f t="shared" ca="1" si="277"/>
        <v>-1.5532326751204248</v>
      </c>
      <c r="N635" s="304">
        <f t="shared" ca="1" si="278"/>
        <v>-88.993676886214885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1.7842999999999964</v>
      </c>
      <c r="T635" s="304">
        <f t="shared" ca="1" si="262"/>
        <v>17.503982999999966</v>
      </c>
      <c r="U635" s="311">
        <f t="shared" ca="1" si="263"/>
        <v>0</v>
      </c>
      <c r="V635" s="306">
        <f t="shared" ca="1" si="264"/>
        <v>1.1974202848501327</v>
      </c>
      <c r="W635" s="304">
        <f t="shared" ca="1" si="265"/>
        <v>18.280078677131499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-0.43390708443234161</v>
      </c>
      <c r="AH635" s="304">
        <f t="shared" ca="1" si="289"/>
        <v>-10.242365796051919</v>
      </c>
    </row>
    <row r="636" spans="1:34" x14ac:dyDescent="0.2">
      <c r="A636" s="347">
        <f t="shared" ca="1" si="267"/>
        <v>0.1</v>
      </c>
      <c r="B636" s="304">
        <f t="shared" ca="1" si="268"/>
        <v>55.90000000000051</v>
      </c>
      <c r="D636" s="306">
        <f t="shared" ca="1" si="269"/>
        <v>-0.1799296237200288</v>
      </c>
      <c r="E636" s="307">
        <f t="shared" ca="1" si="270"/>
        <v>0.43337791474257337</v>
      </c>
      <c r="F636" s="304">
        <f t="shared" ca="1" si="271"/>
        <v>0.46924523064028295</v>
      </c>
      <c r="G636" s="306">
        <f t="shared" ca="1" si="272"/>
        <v>1.8549506342262452</v>
      </c>
      <c r="H636" s="307">
        <f t="shared" ca="1" si="273"/>
        <v>-106.5831791560928</v>
      </c>
      <c r="I636" s="304">
        <f t="shared" ca="1" si="274"/>
        <v>106.59931951412818</v>
      </c>
      <c r="J636" s="306">
        <f t="shared" ca="1" si="275"/>
        <v>806.12086161998957</v>
      </c>
      <c r="K636" s="307">
        <f t="shared" ca="1" si="276"/>
        <v>217.04331475719127</v>
      </c>
      <c r="L636" s="304">
        <f t="shared" ca="1" si="261"/>
        <v>834.82851174342602</v>
      </c>
      <c r="M636" s="306">
        <f t="shared" ca="1" si="277"/>
        <v>-1.5533942995717418</v>
      </c>
      <c r="N636" s="304">
        <f t="shared" ca="1" si="278"/>
        <v>-89.002937285141471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1.7842999999999964</v>
      </c>
      <c r="T636" s="304">
        <f t="shared" ca="1" si="262"/>
        <v>17.503982999999966</v>
      </c>
      <c r="U636" s="311">
        <f t="shared" ca="1" si="263"/>
        <v>0</v>
      </c>
      <c r="V636" s="306">
        <f t="shared" ca="1" si="264"/>
        <v>1.1986976316033822</v>
      </c>
      <c r="W636" s="304">
        <f t="shared" ca="1" si="265"/>
        <v>18.284603074204117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-0.43647113060923282</v>
      </c>
      <c r="AH636" s="304">
        <f t="shared" ca="1" si="289"/>
        <v>-10.244958065981917</v>
      </c>
    </row>
    <row r="637" spans="1:34" x14ac:dyDescent="0.2">
      <c r="A637" s="347">
        <f t="shared" ca="1" si="267"/>
        <v>0.1</v>
      </c>
      <c r="B637" s="304">
        <f t="shared" ca="1" si="268"/>
        <v>56.000000000000512</v>
      </c>
      <c r="D637" s="306">
        <f t="shared" ca="1" si="269"/>
        <v>-0.17831816462397368</v>
      </c>
      <c r="E637" s="307">
        <f t="shared" ca="1" si="270"/>
        <v>0.43594214866024039</v>
      </c>
      <c r="F637" s="304">
        <f t="shared" ca="1" si="271"/>
        <v>0.47100204332186257</v>
      </c>
      <c r="G637" s="306">
        <f t="shared" ca="1" si="272"/>
        <v>1.8371188177638478</v>
      </c>
      <c r="H637" s="307">
        <f t="shared" ca="1" si="273"/>
        <v>-106.53958494122678</v>
      </c>
      <c r="I637" s="304">
        <f t="shared" ca="1" si="274"/>
        <v>106.55542297320892</v>
      </c>
      <c r="J637" s="306">
        <f t="shared" ca="1" si="275"/>
        <v>806.30546509258909</v>
      </c>
      <c r="K637" s="307">
        <f t="shared" ca="1" si="276"/>
        <v>206.38717655232529</v>
      </c>
      <c r="L637" s="304">
        <f t="shared" ca="1" si="261"/>
        <v>832.30052846517958</v>
      </c>
      <c r="M637" s="306">
        <f t="shared" ca="1" si="277"/>
        <v>-1.553554502841483</v>
      </c>
      <c r="N637" s="304">
        <f t="shared" ca="1" si="278"/>
        <v>-89.012116256361836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1.7842999999999964</v>
      </c>
      <c r="T637" s="304">
        <f t="shared" ca="1" si="262"/>
        <v>17.503982999999966</v>
      </c>
      <c r="U637" s="311">
        <f t="shared" ca="1" si="263"/>
        <v>0</v>
      </c>
      <c r="V637" s="306">
        <f t="shared" ca="1" si="264"/>
        <v>1.199975804524821</v>
      </c>
      <c r="W637" s="304">
        <f t="shared" ca="1" si="265"/>
        <v>18.289028182170682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>
        <f t="shared" ca="1" si="286"/>
        <v>56.000000000000512</v>
      </c>
      <c r="AD637" s="323">
        <f t="shared" ca="1" si="287"/>
        <v>806.30546509258909</v>
      </c>
      <c r="AE637" s="324" t="e">
        <f t="shared" ca="1" si="266"/>
        <v>#N/A</v>
      </c>
      <c r="AG637" s="306">
        <f t="shared" ca="1" si="288"/>
        <v>-0.43897908296410648</v>
      </c>
      <c r="AH637" s="304">
        <f t="shared" ca="1" si="289"/>
        <v>-10.247493736593709</v>
      </c>
    </row>
    <row r="638" spans="1:34" x14ac:dyDescent="0.2">
      <c r="A638" s="347">
        <f t="shared" ca="1" si="267"/>
        <v>0.1</v>
      </c>
      <c r="B638" s="304">
        <f t="shared" ca="1" si="268"/>
        <v>56.100000000000513</v>
      </c>
      <c r="D638" s="306">
        <f t="shared" ca="1" si="269"/>
        <v>-0.17671948693858658</v>
      </c>
      <c r="E638" s="307">
        <f t="shared" ca="1" si="270"/>
        <v>0.43845024035009317</v>
      </c>
      <c r="F638" s="304">
        <f t="shared" ca="1" si="271"/>
        <v>0.47272443381624751</v>
      </c>
      <c r="G638" s="306">
        <f t="shared" ca="1" si="272"/>
        <v>1.8194468690699892</v>
      </c>
      <c r="H638" s="307">
        <f t="shared" ca="1" si="273"/>
        <v>-106.49573991719177</v>
      </c>
      <c r="I638" s="304">
        <f t="shared" ca="1" si="274"/>
        <v>106.51128112749147</v>
      </c>
      <c r="J638" s="306">
        <f t="shared" ca="1" si="275"/>
        <v>806.48829337693076</v>
      </c>
      <c r="K638" s="307">
        <f t="shared" ca="1" si="276"/>
        <v>195.73541030940436</v>
      </c>
      <c r="L638" s="304">
        <f t="shared" ca="1" si="261"/>
        <v>829.90102916132423</v>
      </c>
      <c r="M638" s="306">
        <f t="shared" ca="1" si="277"/>
        <v>-1.5537132972072789</v>
      </c>
      <c r="N638" s="304">
        <f t="shared" ca="1" si="278"/>
        <v>-89.021214503332402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1.7842999999999964</v>
      </c>
      <c r="T638" s="304">
        <f t="shared" ca="1" si="262"/>
        <v>17.503982999999966</v>
      </c>
      <c r="U638" s="311">
        <f t="shared" ca="1" si="263"/>
        <v>0</v>
      </c>
      <c r="V638" s="306">
        <f t="shared" ca="1" si="264"/>
        <v>1.2012548010500654</v>
      </c>
      <c r="W638" s="304">
        <f t="shared" ca="1" si="265"/>
        <v>18.293355676385051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-0.44143188593063876</v>
      </c>
      <c r="AH638" s="304">
        <f t="shared" ca="1" si="289"/>
        <v>-10.2499737612345</v>
      </c>
    </row>
    <row r="639" spans="1:34" x14ac:dyDescent="0.2">
      <c r="A639" s="347">
        <f t="shared" ca="1" si="267"/>
        <v>0.1</v>
      </c>
      <c r="B639" s="304">
        <f t="shared" ca="1" si="268"/>
        <v>56.200000000000514</v>
      </c>
      <c r="D639" s="306">
        <f t="shared" ca="1" si="269"/>
        <v>-0.17513351831844606</v>
      </c>
      <c r="E639" s="307">
        <f t="shared" ca="1" si="270"/>
        <v>0.44090313692825944</v>
      </c>
      <c r="F639" s="304">
        <f t="shared" ca="1" si="271"/>
        <v>0.47441261091140585</v>
      </c>
      <c r="G639" s="306">
        <f t="shared" ca="1" si="272"/>
        <v>1.8019335172381445</v>
      </c>
      <c r="H639" s="307">
        <f t="shared" ca="1" si="273"/>
        <v>-106.45164960349895</v>
      </c>
      <c r="I639" s="304">
        <f t="shared" ca="1" si="274"/>
        <v>106.46689939932817</v>
      </c>
      <c r="J639" s="306">
        <f t="shared" ca="1" si="275"/>
        <v>806.66936239624613</v>
      </c>
      <c r="K639" s="307">
        <f t="shared" ca="1" si="276"/>
        <v>185.08804083336983</v>
      </c>
      <c r="L639" s="304">
        <f t="shared" ca="1" si="261"/>
        <v>827.63098243619515</v>
      </c>
      <c r="M639" s="306">
        <f t="shared" ca="1" si="277"/>
        <v>-1.5538706948313123</v>
      </c>
      <c r="N639" s="304">
        <f t="shared" ca="1" si="278"/>
        <v>-89.030232722894894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1.7842999999999964</v>
      </c>
      <c r="T639" s="304">
        <f t="shared" ca="1" si="262"/>
        <v>17.503982999999966</v>
      </c>
      <c r="U639" s="311">
        <f t="shared" ca="1" si="263"/>
        <v>0</v>
      </c>
      <c r="V639" s="306">
        <f t="shared" ca="1" si="264"/>
        <v>1.2025346186687711</v>
      </c>
      <c r="W639" s="304">
        <f t="shared" ca="1" si="265"/>
        <v>18.297587206823287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-0.4438304696943316</v>
      </c>
      <c r="AH639" s="304">
        <f t="shared" ca="1" si="289"/>
        <v>-10.252399078846095</v>
      </c>
    </row>
    <row r="640" spans="1:34" x14ac:dyDescent="0.2">
      <c r="A640" s="347">
        <f t="shared" ca="1" si="267"/>
        <v>0.1</v>
      </c>
      <c r="B640" s="304">
        <f t="shared" ca="1" si="268"/>
        <v>56.300000000000516</v>
      </c>
      <c r="D640" s="306">
        <f t="shared" ca="1" si="269"/>
        <v>-0.17356018617498731</v>
      </c>
      <c r="E640" s="307">
        <f t="shared" ca="1" si="270"/>
        <v>0.44330177116412095</v>
      </c>
      <c r="F640" s="304">
        <f t="shared" ca="1" si="271"/>
        <v>0.476066800504239</v>
      </c>
      <c r="G640" s="306">
        <f t="shared" ca="1" si="272"/>
        <v>1.7845774986206457</v>
      </c>
      <c r="H640" s="307">
        <f t="shared" ca="1" si="273"/>
        <v>-106.40731942638254</v>
      </c>
      <c r="I640" s="304">
        <f t="shared" ca="1" si="274"/>
        <v>106.42228311945198</v>
      </c>
      <c r="J640" s="306">
        <f t="shared" ca="1" si="275"/>
        <v>806.84868794703902</v>
      </c>
      <c r="K640" s="307">
        <f t="shared" ca="1" si="276"/>
        <v>174.44509238187575</v>
      </c>
      <c r="L640" s="304">
        <f t="shared" ca="1" si="261"/>
        <v>825.49130552536985</v>
      </c>
      <c r="M640" s="306">
        <f t="shared" ca="1" si="277"/>
        <v>-1.5540267077617698</v>
      </c>
      <c r="N640" s="304">
        <f t="shared" ca="1" si="278"/>
        <v>-89.039171605359584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1.7842999999999964</v>
      </c>
      <c r="T640" s="304">
        <f t="shared" ca="1" si="262"/>
        <v>17.503982999999966</v>
      </c>
      <c r="U640" s="311">
        <f t="shared" ca="1" si="263"/>
        <v>0</v>
      </c>
      <c r="V640" s="306">
        <f t="shared" ca="1" si="264"/>
        <v>1.2038152549238152</v>
      </c>
      <c r="W640" s="304">
        <f t="shared" ca="1" si="265"/>
        <v>18.301724398407035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-0.44617575037223212</v>
      </c>
      <c r="AH640" s="304">
        <f t="shared" ca="1" si="289"/>
        <v>-10.254770614147466</v>
      </c>
    </row>
    <row r="641" spans="1:34" x14ac:dyDescent="0.2">
      <c r="A641" s="347">
        <f t="shared" ca="1" si="267"/>
        <v>0.1</v>
      </c>
      <c r="B641" s="304">
        <f t="shared" ca="1" si="268"/>
        <v>56.400000000000517</v>
      </c>
      <c r="D641" s="306">
        <f t="shared" ca="1" si="269"/>
        <v>-0.17199941769702332</v>
      </c>
      <c r="E641" s="307">
        <f t="shared" ca="1" si="270"/>
        <v>0.4456470616631325</v>
      </c>
      <c r="F641" s="304">
        <f t="shared" ca="1" si="271"/>
        <v>0.47768724418504088</v>
      </c>
      <c r="G641" s="306">
        <f t="shared" ca="1" si="272"/>
        <v>1.7673775568509433</v>
      </c>
      <c r="H641" s="307">
        <f t="shared" ca="1" si="273"/>
        <v>-106.36275472021623</v>
      </c>
      <c r="I641" s="304">
        <f t="shared" ca="1" si="274"/>
        <v>106.37743752836568</v>
      </c>
      <c r="J641" s="306">
        <f t="shared" ca="1" si="275"/>
        <v>807.02628569981266</v>
      </c>
      <c r="K641" s="307">
        <f t="shared" ca="1" si="276"/>
        <v>163.80658867454582</v>
      </c>
      <c r="L641" s="304">
        <f t="shared" ca="1" si="261"/>
        <v>823.4828621796737</v>
      </c>
      <c r="M641" s="306">
        <f t="shared" ca="1" si="277"/>
        <v>-1.5541813479342685</v>
      </c>
      <c r="N641" s="304">
        <f t="shared" ca="1" si="278"/>
        <v>-89.048031834586936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1.7842999999999964</v>
      </c>
      <c r="T641" s="304">
        <f t="shared" ca="1" si="262"/>
        <v>17.503982999999966</v>
      </c>
      <c r="U641" s="311">
        <f t="shared" ca="1" si="263"/>
        <v>0</v>
      </c>
      <c r="V641" s="306">
        <f t="shared" ca="1" si="264"/>
        <v>1.2050967074104921</v>
      </c>
      <c r="W641" s="304">
        <f t="shared" ca="1" si="265"/>
        <v>18.30576885132453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-0.44846863019134098</v>
      </c>
      <c r="AH641" s="304">
        <f t="shared" ca="1" si="289"/>
        <v>-10.257089277815991</v>
      </c>
    </row>
    <row r="642" spans="1:34" x14ac:dyDescent="0.2">
      <c r="A642" s="347">
        <f t="shared" ca="1" si="267"/>
        <v>0.1</v>
      </c>
      <c r="B642" s="304">
        <f t="shared" ca="1" si="268"/>
        <v>56.500000000000519</v>
      </c>
      <c r="D642" s="306">
        <f t="shared" ca="1" si="269"/>
        <v>-0.17045113987068738</v>
      </c>
      <c r="E642" s="307">
        <f t="shared" ca="1" si="270"/>
        <v>0.44793991304832481</v>
      </c>
      <c r="F642" s="304">
        <f t="shared" ca="1" si="271"/>
        <v>0.47927419791279963</v>
      </c>
      <c r="G642" s="306">
        <f t="shared" ca="1" si="272"/>
        <v>1.7503324428638747</v>
      </c>
      <c r="H642" s="307">
        <f t="shared" ca="1" si="273"/>
        <v>-106.3179607289114</v>
      </c>
      <c r="I642" s="304">
        <f t="shared" ca="1" si="274"/>
        <v>106.33236777771333</v>
      </c>
      <c r="J642" s="306">
        <f t="shared" ca="1" si="275"/>
        <v>807.20217119979839</v>
      </c>
      <c r="K642" s="307">
        <f t="shared" ca="1" si="276"/>
        <v>153.17255290208945</v>
      </c>
      <c r="L642" s="304">
        <f t="shared" ca="1" si="261"/>
        <v>821.60646063198158</v>
      </c>
      <c r="M642" s="306">
        <f t="shared" ca="1" si="277"/>
        <v>-1.5543346271732557</v>
      </c>
      <c r="N642" s="304">
        <f t="shared" ca="1" si="278"/>
        <v>-89.056814088067867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1.7842999999999964</v>
      </c>
      <c r="T642" s="304">
        <f t="shared" ca="1" si="262"/>
        <v>17.503982999999966</v>
      </c>
      <c r="U642" s="311">
        <f t="shared" ca="1" si="263"/>
        <v>0</v>
      </c>
      <c r="V642" s="306">
        <f t="shared" ca="1" si="264"/>
        <v>1.206378973775716</v>
      </c>
      <c r="W642" s="304">
        <f t="shared" ca="1" si="265"/>
        <v>18.309722141349237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-0.45070999766577735</v>
      </c>
      <c r="AH642" s="304">
        <f t="shared" ca="1" si="289"/>
        <v>-10.259355966667357</v>
      </c>
    </row>
    <row r="643" spans="1:34" x14ac:dyDescent="0.2">
      <c r="A643" s="347">
        <f t="shared" ca="1" si="267"/>
        <v>0.1</v>
      </c>
      <c r="B643" s="304">
        <f t="shared" ca="1" si="268"/>
        <v>56.60000000000052</v>
      </c>
      <c r="D643" s="306">
        <f t="shared" ca="1" si="269"/>
        <v>-0.16891527949886162</v>
      </c>
      <c r="E643" s="307">
        <f t="shared" ca="1" si="270"/>
        <v>0.45018121614045548</v>
      </c>
      <c r="F643" s="304">
        <f t="shared" ca="1" si="271"/>
        <v>0.48082793077553015</v>
      </c>
      <c r="G643" s="306">
        <f t="shared" ca="1" si="272"/>
        <v>1.7334409149139884</v>
      </c>
      <c r="H643" s="307">
        <f t="shared" ca="1" si="273"/>
        <v>-106.27294260729735</v>
      </c>
      <c r="I643" s="304">
        <f t="shared" ca="1" si="274"/>
        <v>106.28707893163408</v>
      </c>
      <c r="J643" s="306">
        <f t="shared" ca="1" si="275"/>
        <v>807.37635986768726</v>
      </c>
      <c r="K643" s="307">
        <f t="shared" ca="1" si="276"/>
        <v>142.54300773527902</v>
      </c>
      <c r="L643" s="304">
        <f t="shared" ca="1" si="261"/>
        <v>819.86285165716413</v>
      </c>
      <c r="M643" s="306">
        <f t="shared" ca="1" si="277"/>
        <v>-1.5544865571933806</v>
      </c>
      <c r="N643" s="304">
        <f t="shared" ca="1" si="278"/>
        <v>-89.065519037002375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1.7842999999999964</v>
      </c>
      <c r="T643" s="304">
        <f t="shared" ca="1" si="262"/>
        <v>17.503982999999966</v>
      </c>
      <c r="U643" s="311">
        <f t="shared" ca="1" si="263"/>
        <v>0</v>
      </c>
      <c r="V643" s="306">
        <f t="shared" ca="1" si="264"/>
        <v>1.2076620517172376</v>
      </c>
      <c r="W643" s="304">
        <f t="shared" ca="1" si="265"/>
        <v>18.31358582015601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-0.4529007277726631</v>
      </c>
      <c r="AH643" s="304">
        <f t="shared" ca="1" si="289"/>
        <v>-10.261571563834149</v>
      </c>
    </row>
    <row r="644" spans="1:34" x14ac:dyDescent="0.2">
      <c r="A644" s="347">
        <f t="shared" ca="1" si="267"/>
        <v>0.1</v>
      </c>
      <c r="B644" s="304">
        <f t="shared" ca="1" si="268"/>
        <v>56.700000000000522</v>
      </c>
      <c r="D644" s="306">
        <f t="shared" ca="1" si="269"/>
        <v>-0.16739176322007895</v>
      </c>
      <c r="E644" s="307">
        <f t="shared" ca="1" si="270"/>
        <v>0.45237184813674958</v>
      </c>
      <c r="F644" s="304">
        <f t="shared" ca="1" si="271"/>
        <v>0.48234872383016153</v>
      </c>
      <c r="G644" s="306">
        <f t="shared" ca="1" si="272"/>
        <v>1.7167017385919805</v>
      </c>
      <c r="H644" s="307">
        <f t="shared" ca="1" si="273"/>
        <v>-106.22770542248368</v>
      </c>
      <c r="I644" s="304">
        <f t="shared" ca="1" si="274"/>
        <v>106.24157596809854</v>
      </c>
      <c r="J644" s="306">
        <f t="shared" ca="1" si="275"/>
        <v>807.54886700036252</v>
      </c>
      <c r="K644" s="307">
        <f t="shared" ca="1" si="276"/>
        <v>131.91797533378997</v>
      </c>
      <c r="L644" s="304">
        <f t="shared" ref="L644:L707" ca="1" si="290">SQRT(pos_x^2+pos_z^2)</f>
        <v>818.252726735289</v>
      </c>
      <c r="M644" s="306">
        <f t="shared" ca="1" si="277"/>
        <v>-1.5546371496008455</v>
      </c>
      <c r="N644" s="304">
        <f t="shared" ca="1" si="278"/>
        <v>-89.074147346376819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1.7842999999999964</v>
      </c>
      <c r="T644" s="304">
        <f t="shared" ref="T644:T707" ca="1" si="291">m*g</f>
        <v>17.503982999999966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1.2089459389828743</v>
      </c>
      <c r="W644" s="304">
        <f t="shared" ref="W644:W707" ca="1" si="294">1/2*Rho*Sref*Cx*vit_xz^2</f>
        <v>18.31736141563486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 t="e">
        <f t="shared" ca="1" si="286"/>
        <v>#N/A</v>
      </c>
      <c r="AD644" s="323" t="e">
        <f t="shared" ca="1" si="287"/>
        <v>#N/A</v>
      </c>
      <c r="AE644" s="324" t="e">
        <f t="shared" ref="AE644:AE707" ca="1" si="295">IF(t&lt;T_para, pos_z, NA())</f>
        <v>#N/A</v>
      </c>
      <c r="AG644" s="306">
        <f t="shared" ca="1" si="288"/>
        <v>-0.45504168212665341</v>
      </c>
      <c r="AH644" s="304">
        <f t="shared" ca="1" si="289"/>
        <v>-10.26373693894303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56.800000000000523</v>
      </c>
      <c r="D645" s="306">
        <f t="shared" ref="D645:D708" ca="1" si="298">IF(AND(L644&lt;L_rampe,Poussee&lt;Poids*SIN(M644)),0,(-W644+Poussee)/m*COS(M644)-U644/m*SIN(M644))</f>
        <v>-0.16588051752688585</v>
      </c>
      <c r="E645" s="307">
        <f t="shared" ref="E645:E708" ca="1" si="299">IF(AND(L644&lt;L_rampe,Poussee&lt;Poids*SIN(M644)),0,(-W644+Poussee)/m*SIN(M644)+U644/m*COS(M644)-Poids/m)</f>
        <v>0.45451267278829732</v>
      </c>
      <c r="F645" s="304">
        <f t="shared" ref="F645:F708" ca="1" si="300">SQRT(acc_x^2+acc_z^2)</f>
        <v>0.48383686901697487</v>
      </c>
      <c r="G645" s="306">
        <f t="shared" ref="G645:G708" ca="1" si="301">G644+acc_x*pas</f>
        <v>1.7001136868392919</v>
      </c>
      <c r="H645" s="307">
        <f t="shared" ref="H645:H708" ca="1" si="302">H644+acc_z*pas</f>
        <v>-106.18225415520484</v>
      </c>
      <c r="I645" s="304">
        <f t="shared" ref="I645:I708" ca="1" si="303">SQRT(vit_x^2+vit_z^2)</f>
        <v>106.19586378022778</v>
      </c>
      <c r="J645" s="306">
        <f t="shared" ref="J645:J708" ca="1" si="304">J644+0.5*(vit_x+G644)*pas*(K644&gt;=0)</f>
        <v>807.71970777163403</v>
      </c>
      <c r="K645" s="307">
        <f t="shared" ref="K645:K708" ca="1" si="305">K644+0.5*(vit_z+H644)*pas</f>
        <v>121.29747735490554</v>
      </c>
      <c r="L645" s="304">
        <f t="shared" ca="1" si="290"/>
        <v>816.77671632788224</v>
      </c>
      <c r="M645" s="306">
        <f t="shared" ref="M645:M708" ca="1" si="306">IF(AND(L644&gt;L_rampe,G645&gt;0),ATAN2(G645,H645),$M$4)</f>
        <v>-1.5547864158947284</v>
      </c>
      <c r="N645" s="304">
        <f t="shared" ref="N645:N708" ca="1" si="307">DEGREES(Beta)</f>
        <v>-89.082699675039876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1.7842999999999964</v>
      </c>
      <c r="T645" s="304">
        <f t="shared" ca="1" si="291"/>
        <v>17.503982999999966</v>
      </c>
      <c r="U645" s="311">
        <f t="shared" ca="1" si="292"/>
        <v>0</v>
      </c>
      <c r="V645" s="306">
        <f t="shared" ca="1" si="293"/>
        <v>1.210230633369743</v>
      </c>
      <c r="W645" s="304">
        <f t="shared" ca="1" si="294"/>
        <v>18.321050432202007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-0.45713370915319551</v>
      </c>
      <c r="AH645" s="304">
        <f t="shared" ref="AH645:AH708" ca="1" si="318">IF(AND(L644&lt;L_rampe,Poussee&lt;Poids*SIN(M644)), g*SIN(M644), (-W644+Poussee)/m)</f>
        <v>-10.265852948290588</v>
      </c>
    </row>
    <row r="646" spans="1:34" x14ac:dyDescent="0.2">
      <c r="A646" s="347">
        <f t="shared" ca="1" si="296"/>
        <v>0.1</v>
      </c>
      <c r="B646" s="304">
        <f t="shared" ca="1" si="297"/>
        <v>56.900000000000524</v>
      </c>
      <c r="D646" s="306">
        <f t="shared" ca="1" si="298"/>
        <v>-0.16438146878372728</v>
      </c>
      <c r="E646" s="307">
        <f t="shared" ca="1" si="299"/>
        <v>0.45660454057592226</v>
      </c>
      <c r="F646" s="304">
        <f t="shared" ca="1" si="300"/>
        <v>0.48529266814371358</v>
      </c>
      <c r="G646" s="306">
        <f t="shared" ca="1" si="301"/>
        <v>1.6836755399609191</v>
      </c>
      <c r="H646" s="307">
        <f t="shared" ca="1" si="302"/>
        <v>-106.13659370114725</v>
      </c>
      <c r="I646" s="304">
        <f t="shared" ca="1" si="303"/>
        <v>106.14994717759529</v>
      </c>
      <c r="J646" s="306">
        <f t="shared" ca="1" si="304"/>
        <v>807.88889723297405</v>
      </c>
      <c r="K646" s="307">
        <f t="shared" ca="1" si="305"/>
        <v>110.68153496208794</v>
      </c>
      <c r="L646" s="304">
        <f t="shared" ca="1" si="290"/>
        <v>815.43538827664008</v>
      </c>
      <c r="M646" s="306">
        <f t="shared" ca="1" si="306"/>
        <v>-1.5549343674682834</v>
      </c>
      <c r="N646" s="304">
        <f t="shared" ca="1" si="307"/>
        <v>-89.091176675776893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1.7842999999999964</v>
      </c>
      <c r="T646" s="304">
        <f t="shared" ca="1" si="291"/>
        <v>17.503982999999966</v>
      </c>
      <c r="U646" s="311">
        <f t="shared" ca="1" si="292"/>
        <v>0</v>
      </c>
      <c r="V646" s="306">
        <f t="shared" ca="1" si="293"/>
        <v>1.2115161327235136</v>
      </c>
      <c r="W646" s="304">
        <f t="shared" ca="1" si="294"/>
        <v>18.324654351108656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-0.45917764426032193</v>
      </c>
      <c r="AH646" s="304">
        <f t="shared" ca="1" si="318"/>
        <v>-10.267920435017679</v>
      </c>
    </row>
    <row r="647" spans="1:34" x14ac:dyDescent="0.2">
      <c r="A647" s="347">
        <f t="shared" ca="1" si="296"/>
        <v>0.1</v>
      </c>
      <c r="B647" s="304">
        <f t="shared" ca="1" si="297"/>
        <v>57.000000000000526</v>
      </c>
      <c r="D647" s="306">
        <f t="shared" ca="1" si="298"/>
        <v>-0.16289454324432417</v>
      </c>
      <c r="E647" s="307">
        <f t="shared" ca="1" si="299"/>
        <v>0.45864828888473852</v>
      </c>
      <c r="F647" s="304">
        <f t="shared" ca="1" si="300"/>
        <v>0.48671643193514186</v>
      </c>
      <c r="G647" s="306">
        <f t="shared" ca="1" si="301"/>
        <v>1.6673860856364866</v>
      </c>
      <c r="H647" s="307">
        <f t="shared" ca="1" si="302"/>
        <v>-106.09072887225878</v>
      </c>
      <c r="I647" s="304">
        <f t="shared" ca="1" si="303"/>
        <v>106.10383088751176</v>
      </c>
      <c r="J647" s="306">
        <f t="shared" ca="1" si="304"/>
        <v>808.05645031425388</v>
      </c>
      <c r="K647" s="307">
        <f t="shared" ca="1" si="305"/>
        <v>100.07016883341764</v>
      </c>
      <c r="L647" s="304">
        <f t="shared" ca="1" si="290"/>
        <v>814.22924633350101</v>
      </c>
      <c r="M647" s="306">
        <f t="shared" ca="1" si="306"/>
        <v>-1.5550810156102177</v>
      </c>
      <c r="N647" s="304">
        <f t="shared" ca="1" si="307"/>
        <v>-89.099578995383169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1.7842999999999964</v>
      </c>
      <c r="T647" s="304">
        <f t="shared" ca="1" si="291"/>
        <v>17.503982999999966</v>
      </c>
      <c r="U647" s="311">
        <f t="shared" ca="1" si="292"/>
        <v>0</v>
      </c>
      <c r="V647" s="306">
        <f t="shared" ca="1" si="293"/>
        <v>1.2128024349376634</v>
      </c>
      <c r="W647" s="304">
        <f t="shared" ca="1" si="294"/>
        <v>18.328174630746929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>
        <f t="shared" ca="1" si="315"/>
        <v>57.000000000000526</v>
      </c>
      <c r="AD647" s="323">
        <f t="shared" ca="1" si="316"/>
        <v>808.05645031425388</v>
      </c>
      <c r="AE647" s="324" t="e">
        <f t="shared" ca="1" si="295"/>
        <v>#N/A</v>
      </c>
      <c r="AG647" s="306">
        <f t="shared" ca="1" si="317"/>
        <v>-0.46117431000918963</v>
      </c>
      <c r="AH647" s="304">
        <f t="shared" ca="1" si="318"/>
        <v>-10.26994022928246</v>
      </c>
    </row>
    <row r="648" spans="1:34" x14ac:dyDescent="0.2">
      <c r="A648" s="347">
        <f t="shared" ca="1" si="296"/>
        <v>0.1</v>
      </c>
      <c r="B648" s="304">
        <f t="shared" ca="1" si="297"/>
        <v>57.100000000000527</v>
      </c>
      <c r="D648" s="306">
        <f t="shared" ca="1" si="298"/>
        <v>-0.16141966706856736</v>
      </c>
      <c r="E648" s="307">
        <f t="shared" ca="1" si="299"/>
        <v>0.46064474217713247</v>
      </c>
      <c r="F648" s="304">
        <f t="shared" ca="1" si="300"/>
        <v>0.48810847914368788</v>
      </c>
      <c r="G648" s="306">
        <f t="shared" ca="1" si="301"/>
        <v>1.6512441189296299</v>
      </c>
      <c r="H648" s="307">
        <f t="shared" ca="1" si="302"/>
        <v>-106.04466439804106</v>
      </c>
      <c r="I648" s="304">
        <f t="shared" ca="1" si="303"/>
        <v>106.05751955629293</v>
      </c>
      <c r="J648" s="306">
        <f t="shared" ca="1" si="304"/>
        <v>808.22238182448223</v>
      </c>
      <c r="K648" s="307">
        <f t="shared" ca="1" si="305"/>
        <v>89.463399169902644</v>
      </c>
      <c r="L648" s="304">
        <f t="shared" ca="1" si="290"/>
        <v>813.15872883040026</v>
      </c>
      <c r="M648" s="306">
        <f t="shared" ca="1" si="306"/>
        <v>-1.5552263715059458</v>
      </c>
      <c r="N648" s="304">
        <f t="shared" ca="1" si="307"/>
        <v>-89.107907274735723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1.7842999999999964</v>
      </c>
      <c r="T648" s="304">
        <f t="shared" ca="1" si="291"/>
        <v>17.503982999999966</v>
      </c>
      <c r="U648" s="311">
        <f t="shared" ca="1" si="292"/>
        <v>0</v>
      </c>
      <c r="V648" s="306">
        <f t="shared" ca="1" si="293"/>
        <v>1.2140895379527503</v>
      </c>
      <c r="W648" s="304">
        <f t="shared" ca="1" si="294"/>
        <v>18.331612706953326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-0.46312451628310924</v>
      </c>
      <c r="AH648" s="304">
        <f t="shared" ca="1" si="318"/>
        <v>-10.271913148431858</v>
      </c>
    </row>
    <row r="649" spans="1:34" x14ac:dyDescent="0.2">
      <c r="A649" s="347">
        <f t="shared" ca="1" si="296"/>
        <v>0.1</v>
      </c>
      <c r="B649" s="304">
        <f t="shared" ca="1" si="297"/>
        <v>57.200000000000529</v>
      </c>
      <c r="D649" s="306">
        <f t="shared" ca="1" si="298"/>
        <v>-0.15995676633894193</v>
      </c>
      <c r="E649" s="307">
        <f t="shared" ca="1" si="299"/>
        <v>0.46259471216431258</v>
      </c>
      <c r="F649" s="304">
        <f t="shared" ca="1" si="300"/>
        <v>0.4894691357174567</v>
      </c>
      <c r="G649" s="306">
        <f t="shared" ca="1" si="301"/>
        <v>1.6352484422957356</v>
      </c>
      <c r="H649" s="307">
        <f t="shared" ca="1" si="302"/>
        <v>-105.99840492682463</v>
      </c>
      <c r="I649" s="304">
        <f t="shared" ca="1" si="303"/>
        <v>106.01101775051077</v>
      </c>
      <c r="J649" s="306">
        <f t="shared" ca="1" si="304"/>
        <v>808.38670645254354</v>
      </c>
      <c r="K649" s="307">
        <f t="shared" ca="1" si="305"/>
        <v>78.861245703659364</v>
      </c>
      <c r="L649" s="304">
        <f t="shared" ca="1" si="290"/>
        <v>812.2242074963807</v>
      </c>
      <c r="M649" s="306">
        <f t="shared" ca="1" si="306"/>
        <v>-1.5553704462388211</v>
      </c>
      <c r="N649" s="304">
        <f t="shared" ca="1" si="307"/>
        <v>-89.116162148863964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1.7842999999999964</v>
      </c>
      <c r="T649" s="304">
        <f t="shared" ca="1" si="291"/>
        <v>17.503982999999966</v>
      </c>
      <c r="U649" s="311">
        <f t="shared" ca="1" si="292"/>
        <v>0</v>
      </c>
      <c r="V649" s="306">
        <f t="shared" ca="1" si="293"/>
        <v>1.2153774397556882</v>
      </c>
      <c r="W649" s="304">
        <f t="shared" ca="1" si="294"/>
        <v>18.334969993309503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-0.46502906045521364</v>
      </c>
      <c r="AH649" s="304">
        <f t="shared" ca="1" si="318"/>
        <v>-10.273839997171644</v>
      </c>
    </row>
    <row r="650" spans="1:34" x14ac:dyDescent="0.2">
      <c r="A650" s="347">
        <f t="shared" ca="1" si="296"/>
        <v>0.1</v>
      </c>
      <c r="B650" s="304">
        <f t="shared" ca="1" si="297"/>
        <v>57.30000000000053</v>
      </c>
      <c r="D650" s="306">
        <f t="shared" ca="1" si="298"/>
        <v>-0.1585057670764822</v>
      </c>
      <c r="E650" s="307">
        <f t="shared" ca="1" si="299"/>
        <v>0.46449899797637428</v>
      </c>
      <c r="F650" s="304">
        <f t="shared" ca="1" si="300"/>
        <v>0.49079873402196117</v>
      </c>
      <c r="G650" s="306">
        <f t="shared" ca="1" si="301"/>
        <v>1.6193978655880874</v>
      </c>
      <c r="H650" s="307">
        <f t="shared" ca="1" si="302"/>
        <v>-105.951955027027</v>
      </c>
      <c r="I650" s="304">
        <f t="shared" ca="1" si="303"/>
        <v>105.96432995822803</v>
      </c>
      <c r="J650" s="306">
        <f t="shared" ca="1" si="304"/>
        <v>808.54943876793777</v>
      </c>
      <c r="K650" s="307">
        <f t="shared" ca="1" si="305"/>
        <v>68.263727705966787</v>
      </c>
      <c r="L650" s="304">
        <f t="shared" ca="1" si="290"/>
        <v>811.42598642899134</v>
      </c>
      <c r="M650" s="306">
        <f t="shared" ca="1" si="306"/>
        <v>-1.5555132507913456</v>
      </c>
      <c r="N650" s="304">
        <f t="shared" ca="1" si="307"/>
        <v>-89.124344247018868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1.7842999999999964</v>
      </c>
      <c r="T650" s="304">
        <f t="shared" ca="1" si="291"/>
        <v>17.503982999999966</v>
      </c>
      <c r="U650" s="311">
        <f t="shared" ca="1" si="292"/>
        <v>0</v>
      </c>
      <c r="V650" s="306">
        <f t="shared" ca="1" si="293"/>
        <v>1.2166661383790409</v>
      </c>
      <c r="W650" s="304">
        <f t="shared" ca="1" si="294"/>
        <v>18.338247881440434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-0.46688872755466093</v>
      </c>
      <c r="AH650" s="304">
        <f t="shared" ca="1" si="318"/>
        <v>-10.275721567734989</v>
      </c>
    </row>
    <row r="651" spans="1:34" x14ac:dyDescent="0.2">
      <c r="A651" s="347">
        <f t="shared" ca="1" si="296"/>
        <v>0.1</v>
      </c>
      <c r="B651" s="304">
        <f t="shared" ca="1" si="297"/>
        <v>57.400000000000531</v>
      </c>
      <c r="D651" s="306">
        <f t="shared" ca="1" si="298"/>
        <v>-0.15706659525628791</v>
      </c>
      <c r="E651" s="307">
        <f t="shared" ca="1" si="299"/>
        <v>0.46635838633084958</v>
      </c>
      <c r="F651" s="304">
        <f t="shared" ca="1" si="300"/>
        <v>0.49209761211218706</v>
      </c>
      <c r="G651" s="306">
        <f t="shared" ca="1" si="301"/>
        <v>1.6036912060624586</v>
      </c>
      <c r="H651" s="307">
        <f t="shared" ca="1" si="302"/>
        <v>-105.90531918839392</v>
      </c>
      <c r="I651" s="304">
        <f t="shared" ca="1" si="303"/>
        <v>105.91746059021618</v>
      </c>
      <c r="J651" s="306">
        <f t="shared" ca="1" si="304"/>
        <v>808.7105932215203</v>
      </c>
      <c r="K651" s="307">
        <f t="shared" ca="1" si="305"/>
        <v>57.670863995195738</v>
      </c>
      <c r="L651" s="304">
        <f t="shared" ca="1" si="290"/>
        <v>810.76430122610577</v>
      </c>
      <c r="M651" s="306">
        <f t="shared" ca="1" si="306"/>
        <v>-1.5556547960463589</v>
      </c>
      <c r="N651" s="304">
        <f t="shared" ca="1" si="307"/>
        <v>-89.132454192741235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1.7842999999999964</v>
      </c>
      <c r="T651" s="304">
        <f t="shared" ca="1" si="291"/>
        <v>17.503982999999966</v>
      </c>
      <c r="U651" s="311">
        <f t="shared" ca="1" si="292"/>
        <v>0</v>
      </c>
      <c r="V651" s="306">
        <f t="shared" ca="1" si="293"/>
        <v>1.2179556319003193</v>
      </c>
      <c r="W651" s="304">
        <f t="shared" ca="1" si="294"/>
        <v>18.341447741309789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-0.46870429043146089</v>
      </c>
      <c r="AH651" s="304">
        <f t="shared" ca="1" si="318"/>
        <v>-10.277558640049582</v>
      </c>
    </row>
    <row r="652" spans="1:34" x14ac:dyDescent="0.2">
      <c r="A652" s="347">
        <f t="shared" ca="1" si="296"/>
        <v>0.1</v>
      </c>
      <c r="B652" s="304">
        <f t="shared" ca="1" si="297"/>
        <v>57.500000000000533</v>
      </c>
      <c r="D652" s="306">
        <f t="shared" ca="1" si="298"/>
        <v>-0.15563917682257597</v>
      </c>
      <c r="E652" s="307">
        <f t="shared" ca="1" si="299"/>
        <v>0.46817365169973257</v>
      </c>
      <c r="F652" s="304">
        <f t="shared" ca="1" si="300"/>
        <v>0.49336611305183048</v>
      </c>
      <c r="G652" s="306">
        <f t="shared" ca="1" si="301"/>
        <v>1.5881272883802011</v>
      </c>
      <c r="H652" s="307">
        <f t="shared" ca="1" si="302"/>
        <v>-105.85850182322395</v>
      </c>
      <c r="I652" s="304">
        <f t="shared" ca="1" si="303"/>
        <v>105.8704139811572</v>
      </c>
      <c r="J652" s="306">
        <f t="shared" ca="1" si="304"/>
        <v>808.87018414624242</v>
      </c>
      <c r="K652" s="307">
        <f t="shared" ca="1" si="305"/>
        <v>47.082672944614842</v>
      </c>
      <c r="L652" s="304">
        <f t="shared" ca="1" si="290"/>
        <v>810.23931828342279</v>
      </c>
      <c r="M652" s="306">
        <f t="shared" ca="1" si="306"/>
        <v>-1.5557950927882056</v>
      </c>
      <c r="N652" s="304">
        <f t="shared" ca="1" si="307"/>
        <v>-89.140492603928479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1.7842999999999964</v>
      </c>
      <c r="T652" s="304">
        <f t="shared" ca="1" si="291"/>
        <v>17.503982999999966</v>
      </c>
      <c r="U652" s="311">
        <f t="shared" ca="1" si="292"/>
        <v>0</v>
      </c>
      <c r="V652" s="306">
        <f t="shared" ca="1" si="293"/>
        <v>1.2192459184412909</v>
      </c>
      <c r="W652" s="304">
        <f t="shared" ca="1" si="294"/>
        <v>18.344570921512723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-0.47047650991972745</v>
      </c>
      <c r="AH652" s="304">
        <f t="shared" ca="1" si="318"/>
        <v>-10.27935198190317</v>
      </c>
    </row>
    <row r="653" spans="1:34" x14ac:dyDescent="0.2">
      <c r="A653" s="347">
        <f t="shared" ca="1" si="296"/>
        <v>0.1</v>
      </c>
      <c r="B653" s="304">
        <f t="shared" ca="1" si="297"/>
        <v>57.600000000000534</v>
      </c>
      <c r="D653" s="306">
        <f t="shared" ca="1" si="298"/>
        <v>-0.15422343770332037</v>
      </c>
      <c r="E653" s="307">
        <f t="shared" ca="1" si="299"/>
        <v>0.46994555647497549</v>
      </c>
      <c r="F653" s="304">
        <f t="shared" ca="1" si="300"/>
        <v>0.49460458427677795</v>
      </c>
      <c r="G653" s="306">
        <f t="shared" ca="1" si="301"/>
        <v>1.5727049446098691</v>
      </c>
      <c r="H653" s="307">
        <f t="shared" ca="1" si="302"/>
        <v>-105.81150726757645</v>
      </c>
      <c r="I653" s="304">
        <f t="shared" ca="1" si="303"/>
        <v>105.823194390829</v>
      </c>
      <c r="J653" s="306">
        <f t="shared" ca="1" si="304"/>
        <v>809.02822575789196</v>
      </c>
      <c r="K653" s="307">
        <f t="shared" ca="1" si="305"/>
        <v>36.49917249007482</v>
      </c>
      <c r="L653" s="304">
        <f t="shared" ca="1" si="290"/>
        <v>809.8511342619845</v>
      </c>
      <c r="M653" s="306">
        <f t="shared" ca="1" si="306"/>
        <v>-1.5559341517038829</v>
      </c>
      <c r="N653" s="304">
        <f t="shared" ca="1" si="307"/>
        <v>-89.148460092900464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1.7842999999999964</v>
      </c>
      <c r="T653" s="304">
        <f t="shared" ca="1" si="291"/>
        <v>17.503982999999966</v>
      </c>
      <c r="U653" s="311">
        <f t="shared" ca="1" si="292"/>
        <v>0</v>
      </c>
      <c r="V653" s="306">
        <f t="shared" ca="1" si="293"/>
        <v>1.2205369961673016</v>
      </c>
      <c r="W653" s="304">
        <f t="shared" ca="1" si="294"/>
        <v>18.347618749565857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-0.47220613499956876</v>
      </c>
      <c r="AH653" s="304">
        <f t="shared" ca="1" si="318"/>
        <v>-10.281102349107639</v>
      </c>
    </row>
    <row r="654" spans="1:34" x14ac:dyDescent="0.2">
      <c r="A654" s="347">
        <f t="shared" ca="1" si="296"/>
        <v>0.1</v>
      </c>
      <c r="B654" s="304">
        <f t="shared" ca="1" si="297"/>
        <v>57.700000000000536</v>
      </c>
      <c r="D654" s="306">
        <f t="shared" ca="1" si="298"/>
        <v>-0.15281930382445288</v>
      </c>
      <c r="E654" s="307">
        <f t="shared" ca="1" si="299"/>
        <v>0.47167485113245533</v>
      </c>
      <c r="F654" s="304">
        <f t="shared" ca="1" si="300"/>
        <v>0.49581337700007083</v>
      </c>
      <c r="G654" s="306">
        <f t="shared" ca="1" si="301"/>
        <v>1.5574230142274239</v>
      </c>
      <c r="H654" s="307">
        <f t="shared" ca="1" si="302"/>
        <v>-105.7643397824632</v>
      </c>
      <c r="I654" s="304">
        <f t="shared" ca="1" si="303"/>
        <v>105.775806005275</v>
      </c>
      <c r="J654" s="306">
        <f t="shared" ca="1" si="304"/>
        <v>809.18473215583379</v>
      </c>
      <c r="K654" s="307">
        <f t="shared" ca="1" si="305"/>
        <v>25.920380137572835</v>
      </c>
      <c r="L654" s="304">
        <f t="shared" ca="1" si="290"/>
        <v>809.59977572908497</v>
      </c>
      <c r="M654" s="306">
        <f t="shared" ca="1" si="306"/>
        <v>-1.5560719833841683</v>
      </c>
      <c r="N654" s="304">
        <f t="shared" ca="1" si="307"/>
        <v>-89.156357266464013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1.7842999999999964</v>
      </c>
      <c r="T654" s="304">
        <f t="shared" ca="1" si="291"/>
        <v>17.503982999999966</v>
      </c>
      <c r="U654" s="311">
        <f t="shared" ca="1" si="292"/>
        <v>0</v>
      </c>
      <c r="V654" s="306">
        <f t="shared" ca="1" si="293"/>
        <v>1.2218288632866012</v>
      </c>
      <c r="W654" s="304">
        <f t="shared" ca="1" si="294"/>
        <v>18.350592532194536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 t="e">
        <f t="shared" ca="1" si="315"/>
        <v>#N/A</v>
      </c>
      <c r="AD654" s="323" t="e">
        <f t="shared" ca="1" si="316"/>
        <v>#N/A</v>
      </c>
      <c r="AE654" s="324" t="e">
        <f t="shared" ca="1" si="295"/>
        <v>#N/A</v>
      </c>
      <c r="AG654" s="306">
        <f t="shared" ca="1" si="317"/>
        <v>-0.47389390295741585</v>
      </c>
      <c r="AH654" s="304">
        <f t="shared" ca="1" si="318"/>
        <v>-10.282810485661544</v>
      </c>
    </row>
    <row r="655" spans="1:34" x14ac:dyDescent="0.2">
      <c r="A655" s="347">
        <f t="shared" ca="1" si="296"/>
        <v>0.1</v>
      </c>
      <c r="B655" s="304">
        <f t="shared" ca="1" si="297"/>
        <v>57.800000000000537</v>
      </c>
      <c r="D655" s="306">
        <f t="shared" ca="1" si="298"/>
        <v>-0.15142670112365697</v>
      </c>
      <c r="E655" s="307">
        <f t="shared" ca="1" si="299"/>
        <v>0.47336227439437728</v>
      </c>
      <c r="F655" s="304">
        <f t="shared" ca="1" si="300"/>
        <v>0.49699284565576096</v>
      </c>
      <c r="G655" s="306">
        <f t="shared" ca="1" si="301"/>
        <v>1.5422803441150581</v>
      </c>
      <c r="H655" s="307">
        <f t="shared" ca="1" si="302"/>
        <v>-105.71700355502375</v>
      </c>
      <c r="I655" s="304">
        <f t="shared" ca="1" si="303"/>
        <v>105.72825293795763</v>
      </c>
      <c r="J655" s="306">
        <f t="shared" ca="1" si="304"/>
        <v>809.33971732375096</v>
      </c>
      <c r="K655" s="307">
        <f t="shared" ca="1" si="305"/>
        <v>15.346312970698486</v>
      </c>
      <c r="L655" s="304">
        <f t="shared" ca="1" si="290"/>
        <v>809.48519897493111</v>
      </c>
      <c r="M655" s="306">
        <f t="shared" ca="1" si="306"/>
        <v>-1.5562085983247274</v>
      </c>
      <c r="N655" s="304">
        <f t="shared" ca="1" si="307"/>
        <v>-89.164184725976469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1.7842999999999964</v>
      </c>
      <c r="T655" s="304">
        <f t="shared" ca="1" si="291"/>
        <v>17.503982999999966</v>
      </c>
      <c r="U655" s="311">
        <f t="shared" ca="1" si="292"/>
        <v>0</v>
      </c>
      <c r="V655" s="306">
        <f t="shared" ca="1" si="293"/>
        <v>1.2231215180496857</v>
      </c>
      <c r="W655" s="304">
        <f t="shared" ca="1" si="294"/>
        <v>18.353493555617394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-0.47554053954489817</v>
      </c>
      <c r="AH655" s="304">
        <f t="shared" ca="1" si="318"/>
        <v>-10.284477123911099</v>
      </c>
    </row>
    <row r="656" spans="1:34" x14ac:dyDescent="0.2">
      <c r="A656" s="347">
        <f t="shared" ca="1" si="296"/>
        <v>0.1</v>
      </c>
      <c r="B656" s="304">
        <f t="shared" ca="1" si="297"/>
        <v>57.900000000000539</v>
      </c>
      <c r="D656" s="306">
        <f t="shared" ca="1" si="298"/>
        <v>-0.15004555556375301</v>
      </c>
      <c r="E656" s="307">
        <f t="shared" ca="1" si="299"/>
        <v>0.47500855339014159</v>
      </c>
      <c r="F656" s="304">
        <f t="shared" ca="1" si="300"/>
        <v>0.49814334737927624</v>
      </c>
      <c r="G656" s="306">
        <f t="shared" ca="1" si="301"/>
        <v>1.5272757885586827</v>
      </c>
      <c r="H656" s="307">
        <f t="shared" ca="1" si="302"/>
        <v>-105.66950269968474</v>
      </c>
      <c r="I656" s="304">
        <f t="shared" ca="1" si="303"/>
        <v>105.68053923089624</v>
      </c>
      <c r="J656" s="306">
        <f t="shared" ca="1" si="304"/>
        <v>809.49319513038461</v>
      </c>
      <c r="K656" s="307">
        <f t="shared" ca="1" si="305"/>
        <v>4.7769876579630619</v>
      </c>
      <c r="L656" s="304">
        <f t="shared" ca="1" si="290"/>
        <v>809.50729000638603</v>
      </c>
      <c r="M656" s="306">
        <f t="shared" ca="1" si="306"/>
        <v>-1.5563440069272028</v>
      </c>
      <c r="N656" s="304">
        <f t="shared" ca="1" si="307"/>
        <v>-89.17194306740808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1.7842999999999964</v>
      </c>
      <c r="T656" s="304">
        <f t="shared" ca="1" si="291"/>
        <v>17.503982999999966</v>
      </c>
      <c r="U656" s="311">
        <f t="shared" ca="1" si="292"/>
        <v>0</v>
      </c>
      <c r="V656" s="306">
        <f t="shared" ca="1" si="293"/>
        <v>1.2244149587486415</v>
      </c>
      <c r="W656" s="304">
        <f t="shared" ca="1" si="294"/>
        <v>18.356323085828055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-0.47714675913621107</v>
      </c>
      <c r="AH656" s="304">
        <f t="shared" ca="1" si="318"/>
        <v>-10.286102984709652</v>
      </c>
    </row>
    <row r="657" spans="1:34" x14ac:dyDescent="0.2">
      <c r="A657" s="347">
        <f t="shared" ca="1" si="296"/>
        <v>0.1</v>
      </c>
      <c r="B657" s="304">
        <f t="shared" ca="1" si="297"/>
        <v>58.00000000000054</v>
      </c>
      <c r="D657" s="306">
        <f t="shared" ca="1" si="298"/>
        <v>-0.14867579314569243</v>
      </c>
      <c r="E657" s="307">
        <f t="shared" ca="1" si="299"/>
        <v>0.47661440381561349</v>
      </c>
      <c r="F657" s="304">
        <f t="shared" ca="1" si="300"/>
        <v>0.49926524152199242</v>
      </c>
      <c r="G657" s="306">
        <f t="shared" ca="1" si="301"/>
        <v>1.5124082092441136</v>
      </c>
      <c r="H657" s="307">
        <f t="shared" ca="1" si="302"/>
        <v>-105.62184125930318</v>
      </c>
      <c r="I657" s="304">
        <f t="shared" ca="1" si="303"/>
        <v>105.63266885578925</v>
      </c>
      <c r="J657" s="306">
        <f t="shared" ca="1" si="304"/>
        <v>809.6451793302748</v>
      </c>
      <c r="K657" s="307">
        <f t="shared" ca="1" si="305"/>
        <v>-5.7875795399863339</v>
      </c>
      <c r="L657" s="304">
        <f t="shared" ca="1" si="290"/>
        <v>809.66586471808512</v>
      </c>
      <c r="M657" s="306">
        <f t="shared" ca="1" si="306"/>
        <v>-1.5564782195002853</v>
      </c>
      <c r="N657" s="304">
        <f t="shared" ca="1" si="307"/>
        <v>-89.179632881403293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1.7842999999999964</v>
      </c>
      <c r="T657" s="304">
        <f t="shared" ca="1" si="291"/>
        <v>17.503982999999966</v>
      </c>
      <c r="U657" s="311">
        <f t="shared" ca="1" si="292"/>
        <v>0</v>
      </c>
      <c r="V657" s="306">
        <f t="shared" ca="1" si="293"/>
        <v>1.2257091837165066</v>
      </c>
      <c r="W657" s="304">
        <f t="shared" ca="1" si="294"/>
        <v>18.359082368874123</v>
      </c>
      <c r="Y657" s="314" t="str">
        <f t="shared" ca="1" si="312"/>
        <v>Impact balistique</v>
      </c>
      <c r="Z657" s="315" t="str">
        <f t="shared" ca="1" si="313"/>
        <v/>
      </c>
      <c r="AA657" s="316" t="str">
        <f t="shared" ca="1" si="314"/>
        <v/>
      </c>
      <c r="AC657" s="310">
        <f t="shared" ca="1" si="315"/>
        <v>58.00000000000054</v>
      </c>
      <c r="AD657" s="323">
        <f t="shared" ca="1" si="316"/>
        <v>809.6451793302748</v>
      </c>
      <c r="AE657" s="324" t="e">
        <f t="shared" ca="1" si="295"/>
        <v>#N/A</v>
      </c>
      <c r="AG657" s="306">
        <f t="shared" ca="1" si="317"/>
        <v>-0.47871326488395027</v>
      </c>
      <c r="AH657" s="304">
        <f t="shared" ca="1" si="318"/>
        <v>-10.287688777575571</v>
      </c>
    </row>
    <row r="658" spans="1:34" x14ac:dyDescent="0.2">
      <c r="A658" s="347">
        <f t="shared" ca="1" si="296"/>
        <v>1E-4</v>
      </c>
      <c r="B658" s="304">
        <f t="shared" ca="1" si="297"/>
        <v>58.000100000000543</v>
      </c>
      <c r="D658" s="306">
        <f t="shared" ca="1" si="298"/>
        <v>-0.14731733992115376</v>
      </c>
      <c r="E658" s="307">
        <f t="shared" ca="1" si="299"/>
        <v>0.47818053009085304</v>
      </c>
      <c r="F658" s="304">
        <f t="shared" ca="1" si="300"/>
        <v>0.50035888919795757</v>
      </c>
      <c r="G658" s="306">
        <f t="shared" ca="1" si="301"/>
        <v>1.5123934775101215</v>
      </c>
      <c r="H658" s="307">
        <f t="shared" ca="1" si="302"/>
        <v>-105.62179344125018</v>
      </c>
      <c r="I658" s="304">
        <f t="shared" ca="1" si="303"/>
        <v>105.63262083171531</v>
      </c>
      <c r="J658" s="306">
        <f t="shared" ca="1" si="304"/>
        <v>809.6451793302748</v>
      </c>
      <c r="K658" s="307">
        <f t="shared" ca="1" si="305"/>
        <v>-5.798141721721362</v>
      </c>
      <c r="L658" s="304">
        <f t="shared" ca="1" si="290"/>
        <v>809.6659402865962</v>
      </c>
      <c r="M658" s="306">
        <f t="shared" ca="1" si="306"/>
        <v>-1.5564783524666288</v>
      </c>
      <c r="N658" s="304">
        <f t="shared" ca="1" si="307"/>
        <v>-89.179640499813601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1.7842999999999964</v>
      </c>
      <c r="T658" s="304">
        <f t="shared" ca="1" si="291"/>
        <v>17.503982999999966</v>
      </c>
      <c r="U658" s="311">
        <f t="shared" ca="1" si="292"/>
        <v>0</v>
      </c>
      <c r="V658" s="306">
        <f t="shared" ca="1" si="293"/>
        <v>1.2257104783336141</v>
      </c>
      <c r="W658" s="304">
        <f t="shared" ca="1" si="294"/>
        <v>18.359085066787276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>
        <f t="shared" ca="1" si="315"/>
        <v>58.000100000000543</v>
      </c>
      <c r="AD658" s="323">
        <f t="shared" ca="1" si="316"/>
        <v>809.6451793302748</v>
      </c>
      <c r="AE658" s="324" t="e">
        <f t="shared" ca="1" si="295"/>
        <v>#N/A</v>
      </c>
      <c r="AG658" s="306">
        <f t="shared" ca="1" si="317"/>
        <v>-0.48024074887345947</v>
      </c>
      <c r="AH658" s="304">
        <f t="shared" ca="1" si="318"/>
        <v>-10.289235200848601</v>
      </c>
    </row>
    <row r="659" spans="1:34" x14ac:dyDescent="0.2">
      <c r="A659" s="347">
        <f t="shared" ca="1" si="296"/>
        <v>1E-4</v>
      </c>
      <c r="B659" s="304">
        <f t="shared" ca="1" si="297"/>
        <v>58.000200000000547</v>
      </c>
      <c r="D659" s="306">
        <f t="shared" ca="1" si="298"/>
        <v>-0.14731599358785738</v>
      </c>
      <c r="E659" s="307">
        <f t="shared" ca="1" si="299"/>
        <v>0.47818206155291954</v>
      </c>
      <c r="F659" s="304">
        <f t="shared" ca="1" si="300"/>
        <v>0.50035995638917563</v>
      </c>
      <c r="G659" s="306">
        <f t="shared" ca="1" si="301"/>
        <v>1.5123787459107627</v>
      </c>
      <c r="H659" s="307">
        <f t="shared" ca="1" si="302"/>
        <v>-105.62174562304402</v>
      </c>
      <c r="I659" s="304">
        <f t="shared" ca="1" si="303"/>
        <v>105.63257280749201</v>
      </c>
      <c r="J659" s="306">
        <f t="shared" ca="1" si="304"/>
        <v>809.6451793302748</v>
      </c>
      <c r="K659" s="307">
        <f t="shared" ca="1" si="305"/>
        <v>-5.8087038986745769</v>
      </c>
      <c r="L659" s="304">
        <f t="shared" ca="1" si="290"/>
        <v>809.66601599285082</v>
      </c>
      <c r="M659" s="306">
        <f t="shared" ca="1" si="306"/>
        <v>-1.5564784854317979</v>
      </c>
      <c r="N659" s="304">
        <f t="shared" ca="1" si="307"/>
        <v>-89.179648118156607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1.7842999999999964</v>
      </c>
      <c r="T659" s="304">
        <f t="shared" ca="1" si="291"/>
        <v>17.503982999999966</v>
      </c>
      <c r="U659" s="311">
        <f t="shared" ca="1" si="292"/>
        <v>0</v>
      </c>
      <c r="V659" s="306">
        <f t="shared" ca="1" si="293"/>
        <v>1.2257117729515037</v>
      </c>
      <c r="W659" s="304">
        <f t="shared" ca="1" si="294"/>
        <v>18.359087764632552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>
        <f t="shared" ca="1" si="315"/>
        <v>58.000200000000547</v>
      </c>
      <c r="AD659" s="323">
        <f t="shared" ca="1" si="316"/>
        <v>809.6451793302748</v>
      </c>
      <c r="AE659" s="324" t="e">
        <f t="shared" ca="1" si="295"/>
        <v>#N/A</v>
      </c>
      <c r="AG659" s="306">
        <f t="shared" ca="1" si="317"/>
        <v>-0.48024224222654155</v>
      </c>
      <c r="AH659" s="304">
        <f t="shared" ca="1" si="318"/>
        <v>-10.289236712877495</v>
      </c>
    </row>
    <row r="660" spans="1:34" x14ac:dyDescent="0.2">
      <c r="A660" s="347">
        <f t="shared" ca="1" si="296"/>
        <v>1E-4</v>
      </c>
      <c r="B660" s="304">
        <f t="shared" ca="1" si="297"/>
        <v>58.00030000000055</v>
      </c>
      <c r="D660" s="306">
        <f t="shared" ca="1" si="298"/>
        <v>-0.14731464726569404</v>
      </c>
      <c r="E660" s="307">
        <f t="shared" ca="1" si="299"/>
        <v>0.47818359297659896</v>
      </c>
      <c r="F660" s="304">
        <f t="shared" ca="1" si="300"/>
        <v>0.5003610235530197</v>
      </c>
      <c r="G660" s="306">
        <f t="shared" ca="1" si="301"/>
        <v>1.5123640144460362</v>
      </c>
      <c r="H660" s="307">
        <f t="shared" ca="1" si="302"/>
        <v>-105.62169780468473</v>
      </c>
      <c r="I660" s="304">
        <f t="shared" ca="1" si="303"/>
        <v>105.63252478311939</v>
      </c>
      <c r="J660" s="306">
        <f t="shared" ca="1" si="304"/>
        <v>809.6451793302748</v>
      </c>
      <c r="K660" s="307">
        <f t="shared" ca="1" si="305"/>
        <v>-5.8192660708459636</v>
      </c>
      <c r="L660" s="304">
        <f t="shared" ca="1" si="290"/>
        <v>809.66609183684864</v>
      </c>
      <c r="M660" s="306">
        <f t="shared" ca="1" si="306"/>
        <v>-1.5564786183957928</v>
      </c>
      <c r="N660" s="304">
        <f t="shared" ca="1" si="307"/>
        <v>-89.179655736432352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1.7842999999999964</v>
      </c>
      <c r="T660" s="304">
        <f t="shared" ca="1" si="291"/>
        <v>17.503982999999966</v>
      </c>
      <c r="U660" s="311">
        <f t="shared" ca="1" si="292"/>
        <v>0</v>
      </c>
      <c r="V660" s="306">
        <f t="shared" ca="1" si="293"/>
        <v>1.2257130675701744</v>
      </c>
      <c r="W660" s="304">
        <f t="shared" ca="1" si="294"/>
        <v>18.359090462409945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>
        <f t="shared" ca="1" si="315"/>
        <v>58.00030000000055</v>
      </c>
      <c r="AD660" s="323">
        <f t="shared" ca="1" si="316"/>
        <v>809.6451793302748</v>
      </c>
      <c r="AE660" s="324" t="e">
        <f t="shared" ca="1" si="295"/>
        <v>#N/A</v>
      </c>
      <c r="AG660" s="306">
        <f t="shared" ca="1" si="317"/>
        <v>-0.48024373554191691</v>
      </c>
      <c r="AH660" s="304">
        <f t="shared" ca="1" si="318"/>
        <v>-10.289238224868345</v>
      </c>
    </row>
    <row r="661" spans="1:34" x14ac:dyDescent="0.2">
      <c r="A661" s="347">
        <f t="shared" ca="1" si="296"/>
        <v>1E-4</v>
      </c>
      <c r="B661" s="304">
        <f t="shared" ca="1" si="297"/>
        <v>58.000400000000553</v>
      </c>
      <c r="D661" s="306">
        <f t="shared" ca="1" si="298"/>
        <v>-0.1473133009546615</v>
      </c>
      <c r="E661" s="307">
        <f t="shared" ca="1" si="299"/>
        <v>0.47818512436188776</v>
      </c>
      <c r="F661" s="304">
        <f t="shared" ca="1" si="300"/>
        <v>0.50036209068948534</v>
      </c>
      <c r="G661" s="306">
        <f t="shared" ca="1" si="301"/>
        <v>1.5123492831159406</v>
      </c>
      <c r="H661" s="307">
        <f t="shared" ca="1" si="302"/>
        <v>-105.62164998617229</v>
      </c>
      <c r="I661" s="304">
        <f t="shared" ca="1" si="303"/>
        <v>105.63247675859745</v>
      </c>
      <c r="J661" s="306">
        <f t="shared" ca="1" si="304"/>
        <v>809.6451793302748</v>
      </c>
      <c r="K661" s="307">
        <f t="shared" ca="1" si="305"/>
        <v>-5.829828238235506</v>
      </c>
      <c r="L661" s="304">
        <f t="shared" ca="1" si="290"/>
        <v>809.66616781858943</v>
      </c>
      <c r="M661" s="306">
        <f t="shared" ca="1" si="306"/>
        <v>-1.5564787513586134</v>
      </c>
      <c r="N661" s="304">
        <f t="shared" ca="1" si="307"/>
        <v>-89.179663354640795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1.7842999999999964</v>
      </c>
      <c r="T661" s="304">
        <f t="shared" ca="1" si="291"/>
        <v>17.503982999999966</v>
      </c>
      <c r="U661" s="311">
        <f t="shared" ca="1" si="292"/>
        <v>0</v>
      </c>
      <c r="V661" s="306">
        <f t="shared" ca="1" si="293"/>
        <v>1.2257143621896271</v>
      </c>
      <c r="W661" s="304">
        <f t="shared" ca="1" si="294"/>
        <v>18.359093160119475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>
        <f t="shared" ca="1" si="315"/>
        <v>58.000400000000553</v>
      </c>
      <c r="AD661" s="323">
        <f t="shared" ca="1" si="316"/>
        <v>809.6451793302748</v>
      </c>
      <c r="AE661" s="324" t="e">
        <f t="shared" ca="1" si="295"/>
        <v>#N/A</v>
      </c>
      <c r="AG661" s="306">
        <f t="shared" ca="1" si="317"/>
        <v>-0.48024522881958909</v>
      </c>
      <c r="AH661" s="304">
        <f t="shared" ca="1" si="318"/>
        <v>-10.289239736821152</v>
      </c>
    </row>
    <row r="662" spans="1:34" x14ac:dyDescent="0.2">
      <c r="A662" s="347">
        <f t="shared" ca="1" si="296"/>
        <v>1E-4</v>
      </c>
      <c r="B662" s="304">
        <f t="shared" ca="1" si="297"/>
        <v>58.000500000000557</v>
      </c>
      <c r="D662" s="306">
        <f t="shared" ca="1" si="298"/>
        <v>-0.14731195465476213</v>
      </c>
      <c r="E662" s="307">
        <f t="shared" ca="1" si="299"/>
        <v>0.47818665570879837</v>
      </c>
      <c r="F662" s="304">
        <f t="shared" ca="1" si="300"/>
        <v>0.50036315779858487</v>
      </c>
      <c r="G662" s="306">
        <f t="shared" ca="1" si="301"/>
        <v>1.5123345519204752</v>
      </c>
      <c r="H662" s="307">
        <f t="shared" ca="1" si="302"/>
        <v>-105.62160216750672</v>
      </c>
      <c r="I662" s="304">
        <f t="shared" ca="1" si="303"/>
        <v>105.63242873392618</v>
      </c>
      <c r="J662" s="306">
        <f t="shared" ca="1" si="304"/>
        <v>809.6451793302748</v>
      </c>
      <c r="K662" s="307">
        <f t="shared" ca="1" si="305"/>
        <v>-5.8403904008431899</v>
      </c>
      <c r="L662" s="304">
        <f t="shared" ca="1" si="290"/>
        <v>809.66624393807297</v>
      </c>
      <c r="M662" s="306">
        <f t="shared" ca="1" si="306"/>
        <v>-1.5564788843202597</v>
      </c>
      <c r="N662" s="304">
        <f t="shared" ca="1" si="307"/>
        <v>-89.179670972781963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1.7842999999999964</v>
      </c>
      <c r="T662" s="304">
        <f t="shared" ca="1" si="291"/>
        <v>17.503982999999966</v>
      </c>
      <c r="U662" s="311">
        <f t="shared" ca="1" si="292"/>
        <v>0</v>
      </c>
      <c r="V662" s="306">
        <f t="shared" ca="1" si="293"/>
        <v>1.2257156568098615</v>
      </c>
      <c r="W662" s="304">
        <f t="shared" ca="1" si="294"/>
        <v>18.35909585776113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>
        <f t="shared" ca="1" si="315"/>
        <v>58.000500000000557</v>
      </c>
      <c r="AD662" s="323">
        <f t="shared" ca="1" si="316"/>
        <v>809.6451793302748</v>
      </c>
      <c r="AE662" s="324" t="e">
        <f t="shared" ca="1" si="295"/>
        <v>#N/A</v>
      </c>
      <c r="AG662" s="306">
        <f t="shared" ca="1" si="317"/>
        <v>-0.48024672205956342</v>
      </c>
      <c r="AH662" s="304">
        <f t="shared" ca="1" si="318"/>
        <v>-10.289241248735925</v>
      </c>
    </row>
    <row r="663" spans="1:34" x14ac:dyDescent="0.2">
      <c r="A663" s="347">
        <f t="shared" ca="1" si="296"/>
        <v>1E-4</v>
      </c>
      <c r="B663" s="304">
        <f t="shared" ca="1" si="297"/>
        <v>58.00060000000056</v>
      </c>
      <c r="D663" s="306">
        <f t="shared" ca="1" si="298"/>
        <v>-0.14731060836599366</v>
      </c>
      <c r="E663" s="307">
        <f t="shared" ca="1" si="299"/>
        <v>0.47818818701732546</v>
      </c>
      <c r="F663" s="304">
        <f t="shared" ca="1" si="300"/>
        <v>0.5003642248803124</v>
      </c>
      <c r="G663" s="306">
        <f t="shared" ca="1" si="301"/>
        <v>1.5123198208596387</v>
      </c>
      <c r="H663" s="307">
        <f t="shared" ca="1" si="302"/>
        <v>-105.62155434868802</v>
      </c>
      <c r="I663" s="304">
        <f t="shared" ca="1" si="303"/>
        <v>105.63238070910559</v>
      </c>
      <c r="J663" s="306">
        <f t="shared" ca="1" si="304"/>
        <v>809.6451793302748</v>
      </c>
      <c r="K663" s="307">
        <f t="shared" ca="1" si="305"/>
        <v>-5.8509525586689994</v>
      </c>
      <c r="L663" s="304">
        <f t="shared" ca="1" si="290"/>
        <v>809.66632019529914</v>
      </c>
      <c r="M663" s="306">
        <f t="shared" ca="1" si="306"/>
        <v>-1.5564790172807319</v>
      </c>
      <c r="N663" s="304">
        <f t="shared" ca="1" si="307"/>
        <v>-89.179678590855872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1.7842999999999964</v>
      </c>
      <c r="T663" s="304">
        <f t="shared" ca="1" si="291"/>
        <v>17.503982999999966</v>
      </c>
      <c r="U663" s="311">
        <f t="shared" ca="1" si="292"/>
        <v>0</v>
      </c>
      <c r="V663" s="306">
        <f t="shared" ca="1" si="293"/>
        <v>1.2257169514308777</v>
      </c>
      <c r="W663" s="304">
        <f t="shared" ca="1" si="294"/>
        <v>18.359098555334921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>
        <f t="shared" ca="1" si="315"/>
        <v>58.00060000000056</v>
      </c>
      <c r="AD663" s="323">
        <f t="shared" ca="1" si="316"/>
        <v>809.6451793302748</v>
      </c>
      <c r="AE663" s="324" t="e">
        <f t="shared" ca="1" si="295"/>
        <v>#N/A</v>
      </c>
      <c r="AG663" s="306">
        <f t="shared" ca="1" si="317"/>
        <v>-0.48024821526184169</v>
      </c>
      <c r="AH663" s="304">
        <f t="shared" ca="1" si="318"/>
        <v>-10.289242760612659</v>
      </c>
    </row>
    <row r="664" spans="1:34" x14ac:dyDescent="0.2">
      <c r="A664" s="347">
        <f t="shared" ca="1" si="296"/>
        <v>1E-4</v>
      </c>
      <c r="B664" s="304">
        <f t="shared" ca="1" si="297"/>
        <v>58.000700000000563</v>
      </c>
      <c r="D664" s="306">
        <f t="shared" ca="1" si="298"/>
        <v>-0.14730926208835615</v>
      </c>
      <c r="E664" s="307">
        <f t="shared" ca="1" si="299"/>
        <v>0.47818971828747081</v>
      </c>
      <c r="F664" s="304">
        <f t="shared" ca="1" si="300"/>
        <v>0.50036529193466917</v>
      </c>
      <c r="G664" s="306">
        <f t="shared" ca="1" si="301"/>
        <v>1.5123050899334298</v>
      </c>
      <c r="H664" s="307">
        <f t="shared" ca="1" si="302"/>
        <v>-105.6215065297162</v>
      </c>
      <c r="I664" s="304">
        <f t="shared" ca="1" si="303"/>
        <v>105.63233268413569</v>
      </c>
      <c r="J664" s="306">
        <f t="shared" ca="1" si="304"/>
        <v>809.6451793302748</v>
      </c>
      <c r="K664" s="307">
        <f t="shared" ca="1" si="305"/>
        <v>-5.8615147117129194</v>
      </c>
      <c r="L664" s="304">
        <f t="shared" ca="1" si="290"/>
        <v>809.6663965902676</v>
      </c>
      <c r="M664" s="306">
        <f t="shared" ca="1" si="306"/>
        <v>-1.5564791502400297</v>
      </c>
      <c r="N664" s="304">
        <f t="shared" ca="1" si="307"/>
        <v>-89.179686208862478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1.7842999999999964</v>
      </c>
      <c r="T664" s="304">
        <f t="shared" ca="1" si="291"/>
        <v>17.503982999999966</v>
      </c>
      <c r="U664" s="311">
        <f t="shared" ca="1" si="292"/>
        <v>0</v>
      </c>
      <c r="V664" s="306">
        <f t="shared" ca="1" si="293"/>
        <v>1.2257182460526752</v>
      </c>
      <c r="W664" s="304">
        <f t="shared" ca="1" si="294"/>
        <v>18.35910125284083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58.000700000000563</v>
      </c>
      <c r="AD664" s="323">
        <f t="shared" ca="1" si="316"/>
        <v>809.6451793302748</v>
      </c>
      <c r="AE664" s="324" t="e">
        <f t="shared" ca="1" si="295"/>
        <v>#N/A</v>
      </c>
      <c r="AG664" s="306">
        <f t="shared" ca="1" si="317"/>
        <v>-0.48024970842641856</v>
      </c>
      <c r="AH664" s="304">
        <f t="shared" ca="1" si="318"/>
        <v>-10.289244272451358</v>
      </c>
    </row>
    <row r="665" spans="1:34" x14ac:dyDescent="0.2">
      <c r="A665" s="347">
        <f t="shared" ca="1" si="296"/>
        <v>1E-4</v>
      </c>
      <c r="B665" s="304">
        <f t="shared" ca="1" si="297"/>
        <v>58.000800000000567</v>
      </c>
      <c r="D665" s="306">
        <f t="shared" ca="1" si="298"/>
        <v>-0.14730791582185176</v>
      </c>
      <c r="E665" s="307">
        <f t="shared" ca="1" si="299"/>
        <v>0.47819124951922731</v>
      </c>
      <c r="F665" s="304">
        <f t="shared" ca="1" si="300"/>
        <v>0.50036635896164894</v>
      </c>
      <c r="G665" s="306">
        <f t="shared" ca="1" si="301"/>
        <v>1.5122903591418477</v>
      </c>
      <c r="H665" s="307">
        <f t="shared" ca="1" si="302"/>
        <v>-105.62145871059124</v>
      </c>
      <c r="I665" s="304">
        <f t="shared" ca="1" si="303"/>
        <v>105.63228465901646</v>
      </c>
      <c r="J665" s="306">
        <f t="shared" ca="1" si="304"/>
        <v>809.6451793302748</v>
      </c>
      <c r="K665" s="307">
        <f t="shared" ca="1" si="305"/>
        <v>-5.8720768599749347</v>
      </c>
      <c r="L665" s="304">
        <f t="shared" ca="1" si="290"/>
        <v>809.66647312297812</v>
      </c>
      <c r="M665" s="306">
        <f t="shared" ca="1" si="306"/>
        <v>-1.5564792831981535</v>
      </c>
      <c r="N665" s="304">
        <f t="shared" ca="1" si="307"/>
        <v>-89.179693826801824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1.7842999999999964</v>
      </c>
      <c r="T665" s="304">
        <f t="shared" ca="1" si="291"/>
        <v>17.503982999999966</v>
      </c>
      <c r="U665" s="311">
        <f t="shared" ca="1" si="292"/>
        <v>0</v>
      </c>
      <c r="V665" s="306">
        <f t="shared" ca="1" si="293"/>
        <v>1.2257195406752543</v>
      </c>
      <c r="W665" s="304">
        <f t="shared" ca="1" si="294"/>
        <v>18.359103950278875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>
        <f t="shared" ca="1" si="315"/>
        <v>58.000800000000567</v>
      </c>
      <c r="AD665" s="323">
        <f t="shared" ca="1" si="316"/>
        <v>809.6451793302748</v>
      </c>
      <c r="AE665" s="324" t="e">
        <f t="shared" ca="1" si="295"/>
        <v>#N/A</v>
      </c>
      <c r="AG665" s="306">
        <f t="shared" ca="1" si="317"/>
        <v>-0.48025120155329049</v>
      </c>
      <c r="AH665" s="304">
        <f t="shared" ca="1" si="318"/>
        <v>-10.289245784252012</v>
      </c>
    </row>
    <row r="666" spans="1:34" x14ac:dyDescent="0.2">
      <c r="A666" s="347">
        <f t="shared" ca="1" si="296"/>
        <v>1E-4</v>
      </c>
      <c r="B666" s="304">
        <f t="shared" ca="1" si="297"/>
        <v>58.00090000000057</v>
      </c>
      <c r="D666" s="306">
        <f t="shared" ca="1" si="298"/>
        <v>-0.14730656956647617</v>
      </c>
      <c r="E666" s="307">
        <f t="shared" ca="1" si="299"/>
        <v>0.4781927807126074</v>
      </c>
      <c r="F666" s="304">
        <f t="shared" ca="1" si="300"/>
        <v>0.50036742596126194</v>
      </c>
      <c r="G666" s="306">
        <f t="shared" ca="1" si="301"/>
        <v>1.5122756284848911</v>
      </c>
      <c r="H666" s="307">
        <f t="shared" ca="1" si="302"/>
        <v>-105.62141089131318</v>
      </c>
      <c r="I666" s="304">
        <f t="shared" ca="1" si="303"/>
        <v>105.63223663374794</v>
      </c>
      <c r="J666" s="306">
        <f t="shared" ca="1" si="304"/>
        <v>809.6451793302748</v>
      </c>
      <c r="K666" s="307">
        <f t="shared" ca="1" si="305"/>
        <v>-5.8826390034550302</v>
      </c>
      <c r="L666" s="304">
        <f t="shared" ca="1" si="290"/>
        <v>809.66654979343059</v>
      </c>
      <c r="M666" s="306">
        <f t="shared" ca="1" si="306"/>
        <v>-1.556479416155103</v>
      </c>
      <c r="N666" s="304">
        <f t="shared" ca="1" si="307"/>
        <v>-89.179701444673881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1.7842999999999964</v>
      </c>
      <c r="T666" s="304">
        <f t="shared" ca="1" si="291"/>
        <v>17.503982999999966</v>
      </c>
      <c r="U666" s="311">
        <f t="shared" ca="1" si="292"/>
        <v>0</v>
      </c>
      <c r="V666" s="306">
        <f t="shared" ca="1" si="293"/>
        <v>1.2257208352986155</v>
      </c>
      <c r="W666" s="304">
        <f t="shared" ca="1" si="294"/>
        <v>18.359106647649057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>
        <f t="shared" ca="1" si="315"/>
        <v>58.00090000000057</v>
      </c>
      <c r="AD666" s="323">
        <f t="shared" ca="1" si="316"/>
        <v>809.6451793302748</v>
      </c>
      <c r="AE666" s="324" t="e">
        <f t="shared" ca="1" si="295"/>
        <v>#N/A</v>
      </c>
      <c r="AG666" s="306">
        <f t="shared" ca="1" si="317"/>
        <v>-0.48025269464246989</v>
      </c>
      <c r="AH666" s="304">
        <f t="shared" ca="1" si="318"/>
        <v>-10.289247296014635</v>
      </c>
    </row>
    <row r="667" spans="1:34" x14ac:dyDescent="0.2">
      <c r="A667" s="347">
        <f t="shared" ca="1" si="296"/>
        <v>1E-4</v>
      </c>
      <c r="B667" s="304">
        <f t="shared" ca="1" si="297"/>
        <v>58.001000000000573</v>
      </c>
      <c r="D667" s="306">
        <f t="shared" ca="1" si="298"/>
        <v>-0.14730522332223384</v>
      </c>
      <c r="E667" s="307">
        <f t="shared" ca="1" si="299"/>
        <v>0.47819431186760575</v>
      </c>
      <c r="F667" s="304">
        <f t="shared" ca="1" si="300"/>
        <v>0.50036849293350416</v>
      </c>
      <c r="G667" s="306">
        <f t="shared" ca="1" si="301"/>
        <v>1.5122608979625589</v>
      </c>
      <c r="H667" s="307">
        <f t="shared" ca="1" si="302"/>
        <v>-105.62136307188199</v>
      </c>
      <c r="I667" s="304">
        <f t="shared" ca="1" si="303"/>
        <v>105.6321886083301</v>
      </c>
      <c r="J667" s="306">
        <f t="shared" ca="1" si="304"/>
        <v>809.6451793302748</v>
      </c>
      <c r="K667" s="307">
        <f t="shared" ca="1" si="305"/>
        <v>-5.89320114215319</v>
      </c>
      <c r="L667" s="304">
        <f t="shared" ca="1" si="290"/>
        <v>809.66662660162467</v>
      </c>
      <c r="M667" s="306">
        <f t="shared" ca="1" si="306"/>
        <v>-1.5564795491108783</v>
      </c>
      <c r="N667" s="304">
        <f t="shared" ca="1" si="307"/>
        <v>-89.179709062478665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1.7842999999999964</v>
      </c>
      <c r="T667" s="304">
        <f t="shared" ca="1" si="291"/>
        <v>17.503982999999966</v>
      </c>
      <c r="U667" s="311">
        <f t="shared" ca="1" si="292"/>
        <v>0</v>
      </c>
      <c r="V667" s="306">
        <f t="shared" ca="1" si="293"/>
        <v>1.2257221299227581</v>
      </c>
      <c r="W667" s="304">
        <f t="shared" ca="1" si="294"/>
        <v>18.359109344951364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-0.48025418769395145</v>
      </c>
      <c r="AH667" s="304">
        <f t="shared" ca="1" si="318"/>
        <v>-10.289248807739222</v>
      </c>
    </row>
    <row r="668" spans="1:34" x14ac:dyDescent="0.2">
      <c r="A668" s="347">
        <f t="shared" ca="1" si="296"/>
        <v>1E-4</v>
      </c>
      <c r="B668" s="304">
        <f t="shared" ca="1" si="297"/>
        <v>58.001100000000577</v>
      </c>
      <c r="D668" s="306">
        <f t="shared" ca="1" si="298"/>
        <v>-0.14730387708912246</v>
      </c>
      <c r="E668" s="307">
        <f t="shared" ca="1" si="299"/>
        <v>0.47819584298422058</v>
      </c>
      <c r="F668" s="304">
        <f t="shared" ca="1" si="300"/>
        <v>0.50036955987837295</v>
      </c>
      <c r="G668" s="306">
        <f t="shared" ca="1" si="301"/>
        <v>1.51224616757485</v>
      </c>
      <c r="H668" s="307">
        <f t="shared" ca="1" si="302"/>
        <v>-105.62131525229769</v>
      </c>
      <c r="I668" s="304">
        <f t="shared" ca="1" si="303"/>
        <v>105.63214058276296</v>
      </c>
      <c r="J668" s="306">
        <f t="shared" ca="1" si="304"/>
        <v>809.6451793302748</v>
      </c>
      <c r="K668" s="307">
        <f t="shared" ca="1" si="305"/>
        <v>-5.903763276069399</v>
      </c>
      <c r="L668" s="304">
        <f t="shared" ca="1" si="290"/>
        <v>809.66670354756025</v>
      </c>
      <c r="M668" s="306">
        <f t="shared" ca="1" si="306"/>
        <v>-1.5564796820654796</v>
      </c>
      <c r="N668" s="304">
        <f t="shared" ca="1" si="307"/>
        <v>-89.179716680216188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1.7842999999999964</v>
      </c>
      <c r="T668" s="304">
        <f t="shared" ca="1" si="291"/>
        <v>17.503982999999966</v>
      </c>
      <c r="U668" s="311">
        <f t="shared" ca="1" si="292"/>
        <v>0</v>
      </c>
      <c r="V668" s="306">
        <f t="shared" ca="1" si="293"/>
        <v>1.2257234245476827</v>
      </c>
      <c r="W668" s="304">
        <f t="shared" ca="1" si="294"/>
        <v>18.359112042185817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-0.48025568070773161</v>
      </c>
      <c r="AH668" s="304">
        <f t="shared" ca="1" si="318"/>
        <v>-10.289250319425769</v>
      </c>
    </row>
    <row r="669" spans="1:34" x14ac:dyDescent="0.2">
      <c r="A669" s="347">
        <f t="shared" ca="1" si="296"/>
        <v>1E-4</v>
      </c>
      <c r="B669" s="304">
        <f t="shared" ca="1" si="297"/>
        <v>58.00120000000058</v>
      </c>
      <c r="D669" s="306">
        <f t="shared" ca="1" si="298"/>
        <v>-0.14730253086713999</v>
      </c>
      <c r="E669" s="307">
        <f t="shared" ca="1" si="299"/>
        <v>0.47819737406246077</v>
      </c>
      <c r="F669" s="304">
        <f t="shared" ca="1" si="300"/>
        <v>0.50037062679587596</v>
      </c>
      <c r="G669" s="306">
        <f t="shared" ca="1" si="301"/>
        <v>1.5122314373217633</v>
      </c>
      <c r="H669" s="307">
        <f t="shared" ca="1" si="302"/>
        <v>-105.62126743256029</v>
      </c>
      <c r="I669" s="304">
        <f t="shared" ca="1" si="303"/>
        <v>105.63209255704653</v>
      </c>
      <c r="J669" s="306">
        <f t="shared" ca="1" si="304"/>
        <v>809.6451793302748</v>
      </c>
      <c r="K669" s="307">
        <f t="shared" ca="1" si="305"/>
        <v>-5.914325405203642</v>
      </c>
      <c r="L669" s="304">
        <f t="shared" ca="1" si="290"/>
        <v>809.66678063123686</v>
      </c>
      <c r="M669" s="306">
        <f t="shared" ca="1" si="306"/>
        <v>-1.5564798150189065</v>
      </c>
      <c r="N669" s="304">
        <f t="shared" ca="1" si="307"/>
        <v>-89.179724297886423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1.7842999999999964</v>
      </c>
      <c r="T669" s="304">
        <f t="shared" ca="1" si="291"/>
        <v>17.503982999999966</v>
      </c>
      <c r="U669" s="311">
        <f t="shared" ca="1" si="292"/>
        <v>0</v>
      </c>
      <c r="V669" s="306">
        <f t="shared" ca="1" si="293"/>
        <v>1.2257247191733884</v>
      </c>
      <c r="W669" s="304">
        <f t="shared" ca="1" si="294"/>
        <v>18.359114739352403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-0.48025717368382281</v>
      </c>
      <c r="AH669" s="304">
        <f t="shared" ca="1" si="318"/>
        <v>-10.289251831074289</v>
      </c>
    </row>
    <row r="670" spans="1:34" x14ac:dyDescent="0.2">
      <c r="A670" s="347">
        <f t="shared" ca="1" si="296"/>
        <v>1E-4</v>
      </c>
      <c r="B670" s="304">
        <f t="shared" ca="1" si="297"/>
        <v>58.001300000000583</v>
      </c>
      <c r="D670" s="306">
        <f t="shared" ca="1" si="298"/>
        <v>-0.14730118465629088</v>
      </c>
      <c r="E670" s="307">
        <f t="shared" ca="1" si="299"/>
        <v>0.47819890510232277</v>
      </c>
      <c r="F670" s="304">
        <f t="shared" ca="1" si="300"/>
        <v>0.50037169368601075</v>
      </c>
      <c r="G670" s="306">
        <f t="shared" ca="1" si="301"/>
        <v>1.5122167072032977</v>
      </c>
      <c r="H670" s="307">
        <f t="shared" ca="1" si="302"/>
        <v>-105.62121961266978</v>
      </c>
      <c r="I670" s="304">
        <f t="shared" ca="1" si="303"/>
        <v>105.63204453118081</v>
      </c>
      <c r="J670" s="306">
        <f t="shared" ca="1" si="304"/>
        <v>809.6451793302748</v>
      </c>
      <c r="K670" s="307">
        <f t="shared" ca="1" si="305"/>
        <v>-5.9248875295559031</v>
      </c>
      <c r="L670" s="304">
        <f t="shared" ca="1" si="290"/>
        <v>809.66685785265452</v>
      </c>
      <c r="M670" s="306">
        <f t="shared" ca="1" si="306"/>
        <v>-1.5564799479711593</v>
      </c>
      <c r="N670" s="304">
        <f t="shared" ca="1" si="307"/>
        <v>-89.179731915489384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1.7842999999999964</v>
      </c>
      <c r="T670" s="304">
        <f t="shared" ca="1" si="291"/>
        <v>17.503982999999966</v>
      </c>
      <c r="U670" s="311">
        <f t="shared" ca="1" si="292"/>
        <v>0</v>
      </c>
      <c r="V670" s="306">
        <f t="shared" ca="1" si="293"/>
        <v>1.2257260137998762</v>
      </c>
      <c r="W670" s="304">
        <f t="shared" ca="1" si="294"/>
        <v>18.359117436451132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-0.48025866662221794</v>
      </c>
      <c r="AH670" s="304">
        <f t="shared" ca="1" si="318"/>
        <v>-10.289253342684773</v>
      </c>
    </row>
    <row r="671" spans="1:34" x14ac:dyDescent="0.2">
      <c r="A671" s="347">
        <f t="shared" ca="1" si="296"/>
        <v>1E-4</v>
      </c>
      <c r="B671" s="304">
        <f t="shared" ca="1" si="297"/>
        <v>58.001400000000586</v>
      </c>
      <c r="D671" s="306">
        <f t="shared" ca="1" si="298"/>
        <v>-0.14729983845657291</v>
      </c>
      <c r="E671" s="307">
        <f t="shared" ca="1" si="299"/>
        <v>0.47820043610380658</v>
      </c>
      <c r="F671" s="304">
        <f t="shared" ca="1" si="300"/>
        <v>0.50037276054877655</v>
      </c>
      <c r="G671" s="306">
        <f t="shared" ca="1" si="301"/>
        <v>1.5122019772194522</v>
      </c>
      <c r="H671" s="307">
        <f t="shared" ca="1" si="302"/>
        <v>-105.62117179262617</v>
      </c>
      <c r="I671" s="304">
        <f t="shared" ca="1" si="303"/>
        <v>105.63199650516579</v>
      </c>
      <c r="J671" s="306">
        <f t="shared" ca="1" si="304"/>
        <v>809.6451793302748</v>
      </c>
      <c r="K671" s="307">
        <f t="shared" ca="1" si="305"/>
        <v>-5.9354496491261681</v>
      </c>
      <c r="L671" s="304">
        <f t="shared" ca="1" si="290"/>
        <v>809.66693521181298</v>
      </c>
      <c r="M671" s="306">
        <f t="shared" ca="1" si="306"/>
        <v>-1.5564800809222381</v>
      </c>
      <c r="N671" s="304">
        <f t="shared" ca="1" si="307"/>
        <v>-89.179739533025085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1.7842999999999964</v>
      </c>
      <c r="T671" s="304">
        <f t="shared" ca="1" si="291"/>
        <v>17.503982999999966</v>
      </c>
      <c r="U671" s="311">
        <f t="shared" ca="1" si="292"/>
        <v>0</v>
      </c>
      <c r="V671" s="306">
        <f t="shared" ca="1" si="293"/>
        <v>1.2257273084271454</v>
      </c>
      <c r="W671" s="304">
        <f t="shared" ca="1" si="294"/>
        <v>18.359120133481984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-0.48026015952292056</v>
      </c>
      <c r="AH671" s="304">
        <f t="shared" ca="1" si="318"/>
        <v>-10.289254854257226</v>
      </c>
    </row>
    <row r="672" spans="1:34" x14ac:dyDescent="0.2">
      <c r="A672" s="347">
        <f t="shared" ca="1" si="296"/>
        <v>1E-4</v>
      </c>
      <c r="B672" s="304">
        <f t="shared" ca="1" si="297"/>
        <v>58.00150000000059</v>
      </c>
      <c r="D672" s="306">
        <f t="shared" ca="1" si="298"/>
        <v>-0.14729849226798369</v>
      </c>
      <c r="E672" s="307">
        <f t="shared" ca="1" si="299"/>
        <v>0.4782019670669051</v>
      </c>
      <c r="F672" s="304">
        <f t="shared" ca="1" si="300"/>
        <v>0.50037382738416547</v>
      </c>
      <c r="G672" s="306">
        <f t="shared" ca="1" si="301"/>
        <v>1.5121872473702254</v>
      </c>
      <c r="H672" s="307">
        <f t="shared" ca="1" si="302"/>
        <v>-105.62112397242946</v>
      </c>
      <c r="I672" s="304">
        <f t="shared" ca="1" si="303"/>
        <v>105.63194847900148</v>
      </c>
      <c r="J672" s="306">
        <f t="shared" ca="1" si="304"/>
        <v>809.6451793302748</v>
      </c>
      <c r="K672" s="307">
        <f t="shared" ca="1" si="305"/>
        <v>-5.946011763914421</v>
      </c>
      <c r="L672" s="304">
        <f t="shared" ca="1" si="290"/>
        <v>809.66701270871192</v>
      </c>
      <c r="M672" s="306">
        <f t="shared" ca="1" si="306"/>
        <v>-1.5564802138721425</v>
      </c>
      <c r="N672" s="304">
        <f t="shared" ca="1" si="307"/>
        <v>-89.179747150493498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1.7842999999999964</v>
      </c>
      <c r="T672" s="304">
        <f t="shared" ca="1" si="291"/>
        <v>17.503982999999966</v>
      </c>
      <c r="U672" s="311">
        <f t="shared" ca="1" si="292"/>
        <v>0</v>
      </c>
      <c r="V672" s="306">
        <f t="shared" ca="1" si="293"/>
        <v>1.2257286030551964</v>
      </c>
      <c r="W672" s="304">
        <f t="shared" ca="1" si="294"/>
        <v>18.359122830444985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-0.48026165238591823</v>
      </c>
      <c r="AH672" s="304">
        <f t="shared" ca="1" si="318"/>
        <v>-10.289256365791639</v>
      </c>
    </row>
    <row r="673" spans="1:34" x14ac:dyDescent="0.2">
      <c r="A673" s="347">
        <f t="shared" ca="1" si="296"/>
        <v>1E-4</v>
      </c>
      <c r="B673" s="304">
        <f t="shared" ca="1" si="297"/>
        <v>58.001600000000593</v>
      </c>
      <c r="D673" s="306">
        <f t="shared" ca="1" si="298"/>
        <v>-0.14729714609052802</v>
      </c>
      <c r="E673" s="307">
        <f t="shared" ca="1" si="299"/>
        <v>0.47820349799163075</v>
      </c>
      <c r="F673" s="304">
        <f t="shared" ca="1" si="300"/>
        <v>0.50037489419219061</v>
      </c>
      <c r="G673" s="306">
        <f t="shared" ca="1" si="301"/>
        <v>1.5121725176556162</v>
      </c>
      <c r="H673" s="307">
        <f t="shared" ca="1" si="302"/>
        <v>-105.62107615207965</v>
      </c>
      <c r="I673" s="304">
        <f t="shared" ca="1" si="303"/>
        <v>105.63190045268789</v>
      </c>
      <c r="J673" s="306">
        <f t="shared" ca="1" si="304"/>
        <v>809.6451793302748</v>
      </c>
      <c r="K673" s="307">
        <f t="shared" ca="1" si="305"/>
        <v>-5.9565738739206466</v>
      </c>
      <c r="L673" s="304">
        <f t="shared" ca="1" si="290"/>
        <v>809.66709034335111</v>
      </c>
      <c r="M673" s="306">
        <f t="shared" ca="1" si="306"/>
        <v>-1.556480346820873</v>
      </c>
      <c r="N673" s="304">
        <f t="shared" ca="1" si="307"/>
        <v>-89.17975476789465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1.7842999999999964</v>
      </c>
      <c r="T673" s="304">
        <f t="shared" ca="1" si="291"/>
        <v>17.503982999999966</v>
      </c>
      <c r="U673" s="311">
        <f t="shared" ca="1" si="292"/>
        <v>0</v>
      </c>
      <c r="V673" s="306">
        <f t="shared" ca="1" si="293"/>
        <v>1.2257298976840292</v>
      </c>
      <c r="W673" s="304">
        <f t="shared" ca="1" si="294"/>
        <v>18.359125527340129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-0.4802631452112287</v>
      </c>
      <c r="AH673" s="304">
        <f t="shared" ca="1" si="318"/>
        <v>-10.289257877288025</v>
      </c>
    </row>
    <row r="674" spans="1:34" x14ac:dyDescent="0.2">
      <c r="A674" s="347">
        <f t="shared" ca="1" si="296"/>
        <v>1E-4</v>
      </c>
      <c r="B674" s="304">
        <f t="shared" ca="1" si="297"/>
        <v>58.001700000000596</v>
      </c>
      <c r="D674" s="306">
        <f t="shared" ca="1" si="298"/>
        <v>-0.1472957999242013</v>
      </c>
      <c r="E674" s="307">
        <f t="shared" ca="1" si="299"/>
        <v>0.47820502887798355</v>
      </c>
      <c r="F674" s="304">
        <f t="shared" ca="1" si="300"/>
        <v>0.50037596097285031</v>
      </c>
      <c r="G674" s="306">
        <f t="shared" ca="1" si="301"/>
        <v>1.5121577880756238</v>
      </c>
      <c r="H674" s="307">
        <f t="shared" ca="1" si="302"/>
        <v>-105.62102833157677</v>
      </c>
      <c r="I674" s="304">
        <f t="shared" ca="1" si="303"/>
        <v>105.63185242622501</v>
      </c>
      <c r="J674" s="306">
        <f t="shared" ca="1" si="304"/>
        <v>809.6451793302748</v>
      </c>
      <c r="K674" s="307">
        <f t="shared" ca="1" si="305"/>
        <v>-5.9671359791448291</v>
      </c>
      <c r="L674" s="304">
        <f t="shared" ca="1" si="290"/>
        <v>809.66716811573042</v>
      </c>
      <c r="M674" s="306">
        <f t="shared" ca="1" si="306"/>
        <v>-1.5564804797684293</v>
      </c>
      <c r="N674" s="304">
        <f t="shared" ca="1" si="307"/>
        <v>-89.179762385228514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1.7842999999999964</v>
      </c>
      <c r="T674" s="304">
        <f t="shared" ca="1" si="291"/>
        <v>17.503982999999966</v>
      </c>
      <c r="U674" s="311">
        <f t="shared" ca="1" si="292"/>
        <v>0</v>
      </c>
      <c r="V674" s="306">
        <f t="shared" ca="1" si="293"/>
        <v>1.2257311923136436</v>
      </c>
      <c r="W674" s="304">
        <f t="shared" ca="1" si="294"/>
        <v>18.359128224167414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 t="e">
        <f t="shared" ca="1" si="315"/>
        <v>#N/A</v>
      </c>
      <c r="AD674" s="323" t="e">
        <f t="shared" ca="1" si="316"/>
        <v>#N/A</v>
      </c>
      <c r="AE674" s="324" t="e">
        <f t="shared" ca="1" si="295"/>
        <v>#N/A</v>
      </c>
      <c r="AG674" s="306">
        <f t="shared" ca="1" si="317"/>
        <v>-0.48026463799884667</v>
      </c>
      <c r="AH674" s="304">
        <f t="shared" ca="1" si="318"/>
        <v>-10.28925938874638</v>
      </c>
    </row>
    <row r="675" spans="1:34" x14ac:dyDescent="0.2">
      <c r="A675" s="347">
        <f t="shared" ca="1" si="296"/>
        <v>1E-4</v>
      </c>
      <c r="B675" s="304">
        <f t="shared" ca="1" si="297"/>
        <v>58.0018000000006</v>
      </c>
      <c r="D675" s="306">
        <f t="shared" ca="1" si="298"/>
        <v>-0.14729445376900582</v>
      </c>
      <c r="E675" s="307">
        <f t="shared" ca="1" si="299"/>
        <v>0.47820655972595816</v>
      </c>
      <c r="F675" s="304">
        <f t="shared" ca="1" si="300"/>
        <v>0.5003770277261399</v>
      </c>
      <c r="G675" s="306">
        <f t="shared" ca="1" si="301"/>
        <v>1.5121430586302469</v>
      </c>
      <c r="H675" s="307">
        <f t="shared" ca="1" si="302"/>
        <v>-105.62098051092079</v>
      </c>
      <c r="I675" s="304">
        <f t="shared" ca="1" si="303"/>
        <v>105.63180439961286</v>
      </c>
      <c r="J675" s="306">
        <f t="shared" ca="1" si="304"/>
        <v>809.6451793302748</v>
      </c>
      <c r="K675" s="307">
        <f t="shared" ca="1" si="305"/>
        <v>-5.9776980795869541</v>
      </c>
      <c r="L675" s="304">
        <f t="shared" ca="1" si="290"/>
        <v>809.66724602584952</v>
      </c>
      <c r="M675" s="306">
        <f t="shared" ca="1" si="306"/>
        <v>-1.5564806127148114</v>
      </c>
      <c r="N675" s="304">
        <f t="shared" ca="1" si="307"/>
        <v>-89.179770002495118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1.7842999999999964</v>
      </c>
      <c r="T675" s="304">
        <f t="shared" ca="1" si="291"/>
        <v>17.503982999999966</v>
      </c>
      <c r="U675" s="311">
        <f t="shared" ca="1" si="292"/>
        <v>0</v>
      </c>
      <c r="V675" s="306">
        <f t="shared" ca="1" si="293"/>
        <v>1.2257324869440394</v>
      </c>
      <c r="W675" s="304">
        <f t="shared" ca="1" si="294"/>
        <v>18.359130920926837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-0.48026613074877211</v>
      </c>
      <c r="AH675" s="304">
        <f t="shared" ca="1" si="318"/>
        <v>-10.289260900166704</v>
      </c>
    </row>
    <row r="676" spans="1:34" x14ac:dyDescent="0.2">
      <c r="A676" s="347">
        <f t="shared" ca="1" si="296"/>
        <v>1E-4</v>
      </c>
      <c r="B676" s="304">
        <f t="shared" ca="1" si="297"/>
        <v>58.001900000000603</v>
      </c>
      <c r="D676" s="306">
        <f t="shared" ca="1" si="298"/>
        <v>-0.1472931076249416</v>
      </c>
      <c r="E676" s="307">
        <f t="shared" ca="1" si="299"/>
        <v>0.47820809053555458</v>
      </c>
      <c r="F676" s="304">
        <f t="shared" ca="1" si="300"/>
        <v>0.50037809445205905</v>
      </c>
      <c r="G676" s="306">
        <f t="shared" ca="1" si="301"/>
        <v>1.5121283293194845</v>
      </c>
      <c r="H676" s="307">
        <f t="shared" ca="1" si="302"/>
        <v>-105.62093269011173</v>
      </c>
      <c r="I676" s="304">
        <f t="shared" ca="1" si="303"/>
        <v>105.63175637285146</v>
      </c>
      <c r="J676" s="306">
        <f t="shared" ca="1" si="304"/>
        <v>809.6451793302748</v>
      </c>
      <c r="K676" s="307">
        <f t="shared" ca="1" si="305"/>
        <v>-5.9882601752470057</v>
      </c>
      <c r="L676" s="304">
        <f t="shared" ca="1" si="290"/>
        <v>809.6673240737083</v>
      </c>
      <c r="M676" s="306">
        <f t="shared" ca="1" si="306"/>
        <v>-1.5564807456600196</v>
      </c>
      <c r="N676" s="304">
        <f t="shared" ca="1" si="307"/>
        <v>-89.179777619694448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1.7842999999999964</v>
      </c>
      <c r="T676" s="304">
        <f t="shared" ca="1" si="291"/>
        <v>17.503982999999966</v>
      </c>
      <c r="U676" s="311">
        <f t="shared" ca="1" si="292"/>
        <v>0</v>
      </c>
      <c r="V676" s="306">
        <f t="shared" ca="1" si="293"/>
        <v>1.225733781575217</v>
      </c>
      <c r="W676" s="304">
        <f t="shared" ca="1" si="294"/>
        <v>18.359133617618411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-0.48026762346100327</v>
      </c>
      <c r="AH676" s="304">
        <f t="shared" ca="1" si="318"/>
        <v>-10.289262411548997</v>
      </c>
    </row>
    <row r="677" spans="1:34" x14ac:dyDescent="0.2">
      <c r="A677" s="347">
        <f t="shared" ca="1" si="296"/>
        <v>1E-4</v>
      </c>
      <c r="B677" s="304">
        <f t="shared" ca="1" si="297"/>
        <v>58.002000000000606</v>
      </c>
      <c r="D677" s="306">
        <f t="shared" ca="1" si="298"/>
        <v>-0.1472917614920064</v>
      </c>
      <c r="E677" s="307">
        <f t="shared" ca="1" si="299"/>
        <v>0.47820962130678168</v>
      </c>
      <c r="F677" s="304">
        <f t="shared" ca="1" si="300"/>
        <v>0.50037916115061554</v>
      </c>
      <c r="G677" s="306">
        <f t="shared" ca="1" si="301"/>
        <v>1.5121136001433353</v>
      </c>
      <c r="H677" s="307">
        <f t="shared" ca="1" si="302"/>
        <v>-105.62088486914959</v>
      </c>
      <c r="I677" s="304">
        <f t="shared" ca="1" si="303"/>
        <v>105.63170834594077</v>
      </c>
      <c r="J677" s="306">
        <f t="shared" ca="1" si="304"/>
        <v>809.6451793302748</v>
      </c>
      <c r="K677" s="307">
        <f t="shared" ca="1" si="305"/>
        <v>-5.9988222661249688</v>
      </c>
      <c r="L677" s="304">
        <f t="shared" ca="1" si="290"/>
        <v>809.6674022593063</v>
      </c>
      <c r="M677" s="306">
        <f t="shared" ca="1" si="306"/>
        <v>-1.5564808786040536</v>
      </c>
      <c r="N677" s="304">
        <f t="shared" ca="1" si="307"/>
        <v>-89.179785236826504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1.7842999999999964</v>
      </c>
      <c r="T677" s="304">
        <f t="shared" ca="1" si="291"/>
        <v>17.503982999999966</v>
      </c>
      <c r="U677" s="311">
        <f t="shared" ca="1" si="292"/>
        <v>0</v>
      </c>
      <c r="V677" s="306">
        <f t="shared" ca="1" si="293"/>
        <v>1.2257350762071761</v>
      </c>
      <c r="W677" s="304">
        <f t="shared" ca="1" si="294"/>
        <v>18.359136314242129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-0.48026911613554546</v>
      </c>
      <c r="AH677" s="304">
        <f t="shared" ca="1" si="318"/>
        <v>-10.289263922893262</v>
      </c>
    </row>
    <row r="678" spans="1:34" x14ac:dyDescent="0.2">
      <c r="A678" s="347">
        <f t="shared" ca="1" si="296"/>
        <v>1E-4</v>
      </c>
      <c r="B678" s="304">
        <f t="shared" ca="1" si="297"/>
        <v>58.00210000000061</v>
      </c>
      <c r="D678" s="306">
        <f t="shared" ca="1" si="298"/>
        <v>-0.14729041537020254</v>
      </c>
      <c r="E678" s="307">
        <f t="shared" ca="1" si="299"/>
        <v>0.4782111520396306</v>
      </c>
      <c r="F678" s="304">
        <f t="shared" ca="1" si="300"/>
        <v>0.50038022782180103</v>
      </c>
      <c r="G678" s="306">
        <f t="shared" ca="1" si="301"/>
        <v>1.5120988711017982</v>
      </c>
      <c r="H678" s="307">
        <f t="shared" ca="1" si="302"/>
        <v>-105.62083704803439</v>
      </c>
      <c r="I678" s="304">
        <f t="shared" ca="1" si="303"/>
        <v>105.63166031888082</v>
      </c>
      <c r="J678" s="306">
        <f t="shared" ca="1" si="304"/>
        <v>809.6451793302748</v>
      </c>
      <c r="K678" s="307">
        <f t="shared" ca="1" si="305"/>
        <v>-6.0093843522208283</v>
      </c>
      <c r="L678" s="304">
        <f t="shared" ca="1" si="290"/>
        <v>809.66748058264363</v>
      </c>
      <c r="M678" s="306">
        <f t="shared" ca="1" si="306"/>
        <v>-1.5564810115469134</v>
      </c>
      <c r="N678" s="304">
        <f t="shared" ca="1" si="307"/>
        <v>-89.1797928538913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1.7842999999999964</v>
      </c>
      <c r="T678" s="304">
        <f t="shared" ca="1" si="291"/>
        <v>17.503982999999966</v>
      </c>
      <c r="U678" s="311">
        <f t="shared" ca="1" si="292"/>
        <v>0</v>
      </c>
      <c r="V678" s="306">
        <f t="shared" ca="1" si="293"/>
        <v>1.2257363708399169</v>
      </c>
      <c r="W678" s="304">
        <f t="shared" ca="1" si="294"/>
        <v>18.359139010797993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-0.48027060877239869</v>
      </c>
      <c r="AH678" s="304">
        <f t="shared" ca="1" si="318"/>
        <v>-10.289265434199498</v>
      </c>
    </row>
    <row r="679" spans="1:34" x14ac:dyDescent="0.2">
      <c r="A679" s="347">
        <f t="shared" ca="1" si="296"/>
        <v>1E-4</v>
      </c>
      <c r="B679" s="304">
        <f t="shared" ca="1" si="297"/>
        <v>58.002200000000613</v>
      </c>
      <c r="D679" s="306">
        <f t="shared" ca="1" si="298"/>
        <v>-0.14728906925953009</v>
      </c>
      <c r="E679" s="307">
        <f t="shared" ca="1" si="299"/>
        <v>0.47821268273411022</v>
      </c>
      <c r="F679" s="304">
        <f t="shared" ca="1" si="300"/>
        <v>0.50038129446562385</v>
      </c>
      <c r="G679" s="306">
        <f t="shared" ca="1" si="301"/>
        <v>1.5120841421948723</v>
      </c>
      <c r="H679" s="307">
        <f t="shared" ca="1" si="302"/>
        <v>-105.62078922676612</v>
      </c>
      <c r="I679" s="304">
        <f t="shared" ca="1" si="303"/>
        <v>105.63161229167163</v>
      </c>
      <c r="J679" s="306">
        <f t="shared" ca="1" si="304"/>
        <v>809.6451793302748</v>
      </c>
      <c r="K679" s="307">
        <f t="shared" ca="1" si="305"/>
        <v>-6.0199464335345683</v>
      </c>
      <c r="L679" s="304">
        <f t="shared" ca="1" si="290"/>
        <v>809.66755904371973</v>
      </c>
      <c r="M679" s="306">
        <f t="shared" ca="1" si="306"/>
        <v>-1.5564811444885993</v>
      </c>
      <c r="N679" s="304">
        <f t="shared" ca="1" si="307"/>
        <v>-89.179800470888821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1.7842999999999964</v>
      </c>
      <c r="T679" s="304">
        <f t="shared" ca="1" si="291"/>
        <v>17.503982999999966</v>
      </c>
      <c r="U679" s="311">
        <f t="shared" ca="1" si="292"/>
        <v>0</v>
      </c>
      <c r="V679" s="306">
        <f t="shared" ca="1" si="293"/>
        <v>1.22573766547344</v>
      </c>
      <c r="W679" s="304">
        <f t="shared" ca="1" si="294"/>
        <v>18.359141707286025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-0.48027210137156118</v>
      </c>
      <c r="AH679" s="304">
        <f t="shared" ca="1" si="318"/>
        <v>-10.289266945467707</v>
      </c>
    </row>
    <row r="680" spans="1:34" x14ac:dyDescent="0.2">
      <c r="A680" s="347">
        <f t="shared" ca="1" si="296"/>
        <v>1E-4</v>
      </c>
      <c r="B680" s="304">
        <f t="shared" ca="1" si="297"/>
        <v>58.002300000000616</v>
      </c>
      <c r="D680" s="306">
        <f t="shared" ca="1" si="298"/>
        <v>-0.14728772315998687</v>
      </c>
      <c r="E680" s="307">
        <f t="shared" ca="1" si="299"/>
        <v>0.47821421339022763</v>
      </c>
      <c r="F680" s="304">
        <f t="shared" ca="1" si="300"/>
        <v>0.50038236108209</v>
      </c>
      <c r="G680" s="306">
        <f t="shared" ca="1" si="301"/>
        <v>1.5120694134225563</v>
      </c>
      <c r="H680" s="307">
        <f t="shared" ca="1" si="302"/>
        <v>-105.62074140534479</v>
      </c>
      <c r="I680" s="304">
        <f t="shared" ca="1" si="303"/>
        <v>105.63156426431317</v>
      </c>
      <c r="J680" s="306">
        <f t="shared" ca="1" si="304"/>
        <v>809.6451793302748</v>
      </c>
      <c r="K680" s="307">
        <f t="shared" ca="1" si="305"/>
        <v>-6.0305085100661735</v>
      </c>
      <c r="L680" s="304">
        <f t="shared" ca="1" si="290"/>
        <v>809.66763764253471</v>
      </c>
      <c r="M680" s="306">
        <f t="shared" ca="1" si="306"/>
        <v>-1.556481277429111</v>
      </c>
      <c r="N680" s="304">
        <f t="shared" ca="1" si="307"/>
        <v>-89.179808087819069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1.7842999999999964</v>
      </c>
      <c r="T680" s="304">
        <f t="shared" ca="1" si="291"/>
        <v>17.503982999999966</v>
      </c>
      <c r="U680" s="311">
        <f t="shared" ca="1" si="292"/>
        <v>0</v>
      </c>
      <c r="V680" s="306">
        <f t="shared" ca="1" si="293"/>
        <v>1.2257389601077442</v>
      </c>
      <c r="W680" s="304">
        <f t="shared" ca="1" si="294"/>
        <v>18.359144403706185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-0.48027359393304714</v>
      </c>
      <c r="AH680" s="304">
        <f t="shared" ca="1" si="318"/>
        <v>-10.289268456697899</v>
      </c>
    </row>
    <row r="681" spans="1:34" x14ac:dyDescent="0.2">
      <c r="A681" s="347">
        <f t="shared" ca="1" si="296"/>
        <v>1E-4</v>
      </c>
      <c r="B681" s="304">
        <f t="shared" ca="1" si="297"/>
        <v>58.00240000000062</v>
      </c>
      <c r="D681" s="306">
        <f t="shared" ca="1" si="298"/>
        <v>-0.14728637707157491</v>
      </c>
      <c r="E681" s="307">
        <f t="shared" ca="1" si="299"/>
        <v>0.47821574400796152</v>
      </c>
      <c r="F681" s="304">
        <f t="shared" ca="1" si="300"/>
        <v>0.50038342767117938</v>
      </c>
      <c r="G681" s="306">
        <f t="shared" ca="1" si="301"/>
        <v>1.5120546847848491</v>
      </c>
      <c r="H681" s="307">
        <f t="shared" ca="1" si="302"/>
        <v>-105.62069358377039</v>
      </c>
      <c r="I681" s="304">
        <f t="shared" ca="1" si="303"/>
        <v>105.63151623680545</v>
      </c>
      <c r="J681" s="306">
        <f t="shared" ca="1" si="304"/>
        <v>809.6451793302748</v>
      </c>
      <c r="K681" s="307">
        <f t="shared" ca="1" si="305"/>
        <v>-6.0410705818156289</v>
      </c>
      <c r="L681" s="304">
        <f t="shared" ca="1" si="290"/>
        <v>809.66771637908801</v>
      </c>
      <c r="M681" s="306">
        <f t="shared" ca="1" si="306"/>
        <v>-1.5564814103684488</v>
      </c>
      <c r="N681" s="304">
        <f t="shared" ca="1" si="307"/>
        <v>-89.179815704682042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1.7842999999999964</v>
      </c>
      <c r="T681" s="304">
        <f t="shared" ca="1" si="291"/>
        <v>17.503982999999966</v>
      </c>
      <c r="U681" s="311">
        <f t="shared" ca="1" si="292"/>
        <v>0</v>
      </c>
      <c r="V681" s="306">
        <f t="shared" ca="1" si="293"/>
        <v>1.2257402547428298</v>
      </c>
      <c r="W681" s="304">
        <f t="shared" ca="1" si="294"/>
        <v>18.3591471000585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-0.48027508645682992</v>
      </c>
      <c r="AH681" s="304">
        <f t="shared" ca="1" si="318"/>
        <v>-10.289269967890053</v>
      </c>
    </row>
    <row r="682" spans="1:34" x14ac:dyDescent="0.2">
      <c r="A682" s="347">
        <f t="shared" ca="1" si="296"/>
        <v>1E-4</v>
      </c>
      <c r="B682" s="304">
        <f t="shared" ca="1" si="297"/>
        <v>58.002500000000623</v>
      </c>
      <c r="D682" s="306">
        <f t="shared" ca="1" si="298"/>
        <v>-0.14728503099429216</v>
      </c>
      <c r="E682" s="307">
        <f t="shared" ca="1" si="299"/>
        <v>0.4782172745873261</v>
      </c>
      <c r="F682" s="304">
        <f t="shared" ca="1" si="300"/>
        <v>0.50038449423290454</v>
      </c>
      <c r="G682" s="306">
        <f t="shared" ca="1" si="301"/>
        <v>1.5120399562817497</v>
      </c>
      <c r="H682" s="307">
        <f t="shared" ca="1" si="302"/>
        <v>-105.62064576204293</v>
      </c>
      <c r="I682" s="304">
        <f t="shared" ca="1" si="303"/>
        <v>105.63146820914849</v>
      </c>
      <c r="J682" s="306">
        <f t="shared" ca="1" si="304"/>
        <v>809.6451793302748</v>
      </c>
      <c r="K682" s="307">
        <f t="shared" ca="1" si="305"/>
        <v>-6.0516326487829195</v>
      </c>
      <c r="L682" s="304">
        <f t="shared" ca="1" si="290"/>
        <v>809.66779525337961</v>
      </c>
      <c r="M682" s="306">
        <f t="shared" ca="1" si="306"/>
        <v>-1.5564815433066126</v>
      </c>
      <c r="N682" s="304">
        <f t="shared" ca="1" si="307"/>
        <v>-89.17982332147777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1.7842999999999964</v>
      </c>
      <c r="T682" s="304">
        <f t="shared" ca="1" si="291"/>
        <v>17.503982999999966</v>
      </c>
      <c r="U682" s="311">
        <f t="shared" ca="1" si="292"/>
        <v>0</v>
      </c>
      <c r="V682" s="306">
        <f t="shared" ca="1" si="293"/>
        <v>1.2257415493786974</v>
      </c>
      <c r="W682" s="304">
        <f t="shared" ca="1" si="294"/>
        <v>18.359149796342969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-0.48027657894292908</v>
      </c>
      <c r="AH682" s="304">
        <f t="shared" ca="1" si="318"/>
        <v>-10.289271479044183</v>
      </c>
    </row>
    <row r="683" spans="1:34" x14ac:dyDescent="0.2">
      <c r="A683" s="347">
        <f t="shared" ca="1" si="296"/>
        <v>1E-4</v>
      </c>
      <c r="B683" s="304">
        <f t="shared" ca="1" si="297"/>
        <v>58.002600000000626</v>
      </c>
      <c r="D683" s="306">
        <f t="shared" ca="1" si="298"/>
        <v>-0.14728368492813865</v>
      </c>
      <c r="E683" s="307">
        <f t="shared" ca="1" si="299"/>
        <v>0.47821880512832315</v>
      </c>
      <c r="F683" s="304">
        <f t="shared" ca="1" si="300"/>
        <v>0.50038556076726703</v>
      </c>
      <c r="G683" s="306">
        <f t="shared" ca="1" si="301"/>
        <v>1.5120252279132569</v>
      </c>
      <c r="H683" s="307">
        <f t="shared" ca="1" si="302"/>
        <v>-105.62059794016241</v>
      </c>
      <c r="I683" s="304">
        <f t="shared" ca="1" si="303"/>
        <v>105.63142018134229</v>
      </c>
      <c r="J683" s="306">
        <f t="shared" ca="1" si="304"/>
        <v>809.6451793302748</v>
      </c>
      <c r="K683" s="307">
        <f t="shared" ca="1" si="305"/>
        <v>-6.0621947109680301</v>
      </c>
      <c r="L683" s="304">
        <f t="shared" ca="1" si="290"/>
        <v>809.66787426540918</v>
      </c>
      <c r="M683" s="306">
        <f t="shared" ca="1" si="306"/>
        <v>-1.5564816762436022</v>
      </c>
      <c r="N683" s="304">
        <f t="shared" ca="1" si="307"/>
        <v>-89.179830938206223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1.7842999999999964</v>
      </c>
      <c r="T683" s="304">
        <f t="shared" ca="1" si="291"/>
        <v>17.503982999999966</v>
      </c>
      <c r="U683" s="311">
        <f t="shared" ca="1" si="292"/>
        <v>0</v>
      </c>
      <c r="V683" s="306">
        <f t="shared" ca="1" si="293"/>
        <v>1.2257428440153468</v>
      </c>
      <c r="W683" s="304">
        <f t="shared" ca="1" si="294"/>
        <v>18.359152492559595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-0.48027807139134282</v>
      </c>
      <c r="AH683" s="304">
        <f t="shared" ca="1" si="318"/>
        <v>-10.28927299016029</v>
      </c>
    </row>
    <row r="684" spans="1:34" x14ac:dyDescent="0.2">
      <c r="A684" s="347">
        <f t="shared" ca="1" si="296"/>
        <v>1E-4</v>
      </c>
      <c r="B684" s="304">
        <f t="shared" ca="1" si="297"/>
        <v>58.00270000000063</v>
      </c>
      <c r="D684" s="306">
        <f t="shared" ca="1" si="298"/>
        <v>-0.14728233887311665</v>
      </c>
      <c r="E684" s="307">
        <f t="shared" ca="1" si="299"/>
        <v>0.4782203356309509</v>
      </c>
      <c r="F684" s="304">
        <f t="shared" ca="1" si="300"/>
        <v>0.50038662727426564</v>
      </c>
      <c r="G684" s="306">
        <f t="shared" ca="1" si="301"/>
        <v>1.5120104996793695</v>
      </c>
      <c r="H684" s="307">
        <f t="shared" ca="1" si="302"/>
        <v>-105.62055011812885</v>
      </c>
      <c r="I684" s="304">
        <f t="shared" ca="1" si="303"/>
        <v>105.63137215338683</v>
      </c>
      <c r="J684" s="306">
        <f t="shared" ca="1" si="304"/>
        <v>809.6451793302748</v>
      </c>
      <c r="K684" s="307">
        <f t="shared" ca="1" si="305"/>
        <v>-6.0727567683709447</v>
      </c>
      <c r="L684" s="304">
        <f t="shared" ca="1" si="290"/>
        <v>809.66795341517661</v>
      </c>
      <c r="M684" s="306">
        <f t="shared" ca="1" si="306"/>
        <v>-1.5564818091794179</v>
      </c>
      <c r="N684" s="304">
        <f t="shared" ca="1" si="307"/>
        <v>-89.179838554867402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1.7842999999999964</v>
      </c>
      <c r="T684" s="304">
        <f t="shared" ca="1" si="291"/>
        <v>17.503982999999966</v>
      </c>
      <c r="U684" s="311">
        <f t="shared" ca="1" si="292"/>
        <v>0</v>
      </c>
      <c r="V684" s="306">
        <f t="shared" ca="1" si="293"/>
        <v>1.2257441386527776</v>
      </c>
      <c r="W684" s="304">
        <f t="shared" ca="1" si="294"/>
        <v>18.359155188708364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 t="e">
        <f t="shared" ca="1" si="315"/>
        <v>#N/A</v>
      </c>
      <c r="AD684" s="323" t="e">
        <f t="shared" ca="1" si="316"/>
        <v>#N/A</v>
      </c>
      <c r="AE684" s="324" t="e">
        <f t="shared" ca="1" si="295"/>
        <v>#N/A</v>
      </c>
      <c r="AG684" s="306">
        <f t="shared" ca="1" si="317"/>
        <v>-0.48027956380207293</v>
      </c>
      <c r="AH684" s="304">
        <f t="shared" ca="1" si="318"/>
        <v>-10.289274501238374</v>
      </c>
    </row>
    <row r="685" spans="1:34" x14ac:dyDescent="0.2">
      <c r="A685" s="347">
        <f t="shared" ca="1" si="296"/>
        <v>1E-4</v>
      </c>
      <c r="B685" s="304">
        <f t="shared" ca="1" si="297"/>
        <v>58.002800000000633</v>
      </c>
      <c r="D685" s="306">
        <f t="shared" ca="1" si="298"/>
        <v>-0.14728099282922386</v>
      </c>
      <c r="E685" s="307">
        <f t="shared" ca="1" si="299"/>
        <v>0.47822186609520578</v>
      </c>
      <c r="F685" s="304">
        <f t="shared" ca="1" si="300"/>
        <v>0.50038769375389602</v>
      </c>
      <c r="G685" s="306">
        <f t="shared" ca="1" si="301"/>
        <v>1.5119957715800867</v>
      </c>
      <c r="H685" s="307">
        <f t="shared" ca="1" si="302"/>
        <v>-105.62050229594223</v>
      </c>
      <c r="I685" s="304">
        <f t="shared" ca="1" si="303"/>
        <v>105.63132412528213</v>
      </c>
      <c r="J685" s="306">
        <f t="shared" ca="1" si="304"/>
        <v>809.6451793302748</v>
      </c>
      <c r="K685" s="307">
        <f t="shared" ca="1" si="305"/>
        <v>-6.0833188209916482</v>
      </c>
      <c r="L685" s="304">
        <f t="shared" ca="1" si="290"/>
        <v>809.66803270268156</v>
      </c>
      <c r="M685" s="306">
        <f t="shared" ca="1" si="306"/>
        <v>-1.5564819421140597</v>
      </c>
      <c r="N685" s="304">
        <f t="shared" ca="1" si="307"/>
        <v>-89.179846171461321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1.7842999999999964</v>
      </c>
      <c r="T685" s="304">
        <f t="shared" ca="1" si="291"/>
        <v>17.503982999999966</v>
      </c>
      <c r="U685" s="311">
        <f t="shared" ca="1" si="292"/>
        <v>0</v>
      </c>
      <c r="V685" s="306">
        <f t="shared" ca="1" si="293"/>
        <v>1.2257454332909901</v>
      </c>
      <c r="W685" s="304">
        <f t="shared" ca="1" si="294"/>
        <v>18.35915788478929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-0.48028105617511052</v>
      </c>
      <c r="AH685" s="304">
        <f t="shared" ca="1" si="318"/>
        <v>-10.289276012278428</v>
      </c>
    </row>
    <row r="686" spans="1:34" x14ac:dyDescent="0.2">
      <c r="A686" s="347">
        <f t="shared" ca="1" si="296"/>
        <v>1E-4</v>
      </c>
      <c r="B686" s="304">
        <f t="shared" ca="1" si="297"/>
        <v>58.002900000000636</v>
      </c>
      <c r="D686" s="306">
        <f t="shared" ca="1" si="298"/>
        <v>-0.14727964679646036</v>
      </c>
      <c r="E686" s="307">
        <f t="shared" ca="1" si="299"/>
        <v>0.47822339652109314</v>
      </c>
      <c r="F686" s="304">
        <f t="shared" ca="1" si="300"/>
        <v>0.50038876020616296</v>
      </c>
      <c r="G686" s="306">
        <f t="shared" ca="1" si="301"/>
        <v>1.5119810436154071</v>
      </c>
      <c r="H686" s="307">
        <f t="shared" ca="1" si="302"/>
        <v>-105.62045447360258</v>
      </c>
      <c r="I686" s="304">
        <f t="shared" ca="1" si="303"/>
        <v>105.63127609702823</v>
      </c>
      <c r="J686" s="306">
        <f t="shared" ca="1" si="304"/>
        <v>809.6451793302748</v>
      </c>
      <c r="K686" s="307">
        <f t="shared" ca="1" si="305"/>
        <v>-6.0938808688301256</v>
      </c>
      <c r="L686" s="304">
        <f t="shared" ca="1" si="290"/>
        <v>809.66811212792391</v>
      </c>
      <c r="M686" s="306">
        <f t="shared" ca="1" si="306"/>
        <v>-1.5564820750475272</v>
      </c>
      <c r="N686" s="304">
        <f t="shared" ca="1" si="307"/>
        <v>-89.179853787987966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1.7842999999999964</v>
      </c>
      <c r="T686" s="304">
        <f t="shared" ca="1" si="291"/>
        <v>17.503982999999966</v>
      </c>
      <c r="U686" s="311">
        <f t="shared" ca="1" si="292"/>
        <v>0</v>
      </c>
      <c r="V686" s="306">
        <f t="shared" ca="1" si="293"/>
        <v>1.2257467279299841</v>
      </c>
      <c r="W686" s="304">
        <f t="shared" ca="1" si="294"/>
        <v>18.359160580802381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-0.4802825485104627</v>
      </c>
      <c r="AH686" s="304">
        <f t="shared" ca="1" si="318"/>
        <v>-10.289277523280461</v>
      </c>
    </row>
    <row r="687" spans="1:34" x14ac:dyDescent="0.2">
      <c r="A687" s="347">
        <f t="shared" ca="1" si="296"/>
        <v>1E-4</v>
      </c>
      <c r="B687" s="304">
        <f t="shared" ca="1" si="297"/>
        <v>58.00300000000064</v>
      </c>
      <c r="D687" s="306">
        <f t="shared" ca="1" si="298"/>
        <v>-0.14727830077482856</v>
      </c>
      <c r="E687" s="307">
        <f t="shared" ca="1" si="299"/>
        <v>0.47822492690861651</v>
      </c>
      <c r="F687" s="304">
        <f t="shared" ca="1" si="300"/>
        <v>0.50038982663107023</v>
      </c>
      <c r="G687" s="306">
        <f t="shared" ca="1" si="301"/>
        <v>1.5119663157853296</v>
      </c>
      <c r="H687" s="307">
        <f t="shared" ca="1" si="302"/>
        <v>-105.62040665110989</v>
      </c>
      <c r="I687" s="304">
        <f t="shared" ca="1" si="303"/>
        <v>105.63122806862508</v>
      </c>
      <c r="J687" s="306">
        <f t="shared" ca="1" si="304"/>
        <v>809.6451793302748</v>
      </c>
      <c r="K687" s="307">
        <f t="shared" ca="1" si="305"/>
        <v>-6.1044429118863608</v>
      </c>
      <c r="L687" s="304">
        <f t="shared" ca="1" si="290"/>
        <v>809.66819169090331</v>
      </c>
      <c r="M687" s="306">
        <f t="shared" ca="1" si="306"/>
        <v>-1.5564822079798208</v>
      </c>
      <c r="N687" s="304">
        <f t="shared" ca="1" si="307"/>
        <v>-89.179861404447365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1.7842999999999964</v>
      </c>
      <c r="T687" s="304">
        <f t="shared" ca="1" si="291"/>
        <v>17.503982999999966</v>
      </c>
      <c r="U687" s="311">
        <f t="shared" ca="1" si="292"/>
        <v>0</v>
      </c>
      <c r="V687" s="306">
        <f t="shared" ca="1" si="293"/>
        <v>1.2257480225697597</v>
      </c>
      <c r="W687" s="304">
        <f t="shared" ca="1" si="294"/>
        <v>18.359163276747626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-0.48028404080813836</v>
      </c>
      <c r="AH687" s="304">
        <f t="shared" ca="1" si="318"/>
        <v>-10.289279034244476</v>
      </c>
    </row>
    <row r="688" spans="1:34" x14ac:dyDescent="0.2">
      <c r="A688" s="347">
        <f t="shared" ca="1" si="296"/>
        <v>1E-4</v>
      </c>
      <c r="B688" s="304">
        <f t="shared" ca="1" si="297"/>
        <v>58.003100000000643</v>
      </c>
      <c r="D688" s="306">
        <f t="shared" ca="1" si="298"/>
        <v>-0.14727695476432609</v>
      </c>
      <c r="E688" s="307">
        <f t="shared" ca="1" si="299"/>
        <v>0.47822645725777058</v>
      </c>
      <c r="F688" s="304">
        <f t="shared" ca="1" si="300"/>
        <v>0.50039089302861184</v>
      </c>
      <c r="G688" s="306">
        <f t="shared" ca="1" si="301"/>
        <v>1.5119515880898531</v>
      </c>
      <c r="H688" s="307">
        <f t="shared" ca="1" si="302"/>
        <v>-105.62035882846416</v>
      </c>
      <c r="I688" s="304">
        <f t="shared" ca="1" si="303"/>
        <v>105.63118004007271</v>
      </c>
      <c r="J688" s="306">
        <f t="shared" ca="1" si="304"/>
        <v>809.6451793302748</v>
      </c>
      <c r="K688" s="307">
        <f t="shared" ca="1" si="305"/>
        <v>-6.1150049501603396</v>
      </c>
      <c r="L688" s="304">
        <f t="shared" ca="1" si="290"/>
        <v>809.66827139161956</v>
      </c>
      <c r="M688" s="306">
        <f t="shared" ca="1" si="306"/>
        <v>-1.5564823409109405</v>
      </c>
      <c r="N688" s="304">
        <f t="shared" ca="1" si="307"/>
        <v>-89.179869020839476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1.7842999999999964</v>
      </c>
      <c r="T688" s="304">
        <f t="shared" ca="1" si="291"/>
        <v>17.503982999999966</v>
      </c>
      <c r="U688" s="311">
        <f t="shared" ca="1" si="292"/>
        <v>0</v>
      </c>
      <c r="V688" s="306">
        <f t="shared" ca="1" si="293"/>
        <v>1.2257493172103171</v>
      </c>
      <c r="W688" s="304">
        <f t="shared" ca="1" si="294"/>
        <v>18.359165972625032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-0.4802855330681286</v>
      </c>
      <c r="AH688" s="304">
        <f t="shared" ca="1" si="318"/>
        <v>-10.289280545170467</v>
      </c>
    </row>
    <row r="689" spans="1:34" x14ac:dyDescent="0.2">
      <c r="A689" s="347">
        <f t="shared" ca="1" si="296"/>
        <v>1E-4</v>
      </c>
      <c r="B689" s="304">
        <f t="shared" ca="1" si="297"/>
        <v>58.003200000000646</v>
      </c>
      <c r="D689" s="306">
        <f t="shared" ca="1" si="298"/>
        <v>-0.14727560876495296</v>
      </c>
      <c r="E689" s="307">
        <f t="shared" ca="1" si="299"/>
        <v>0.47822798756856066</v>
      </c>
      <c r="F689" s="304">
        <f t="shared" ca="1" si="300"/>
        <v>0.50039195939879266</v>
      </c>
      <c r="G689" s="306">
        <f t="shared" ca="1" si="301"/>
        <v>1.5119368605289767</v>
      </c>
      <c r="H689" s="307">
        <f t="shared" ca="1" si="302"/>
        <v>-105.6203110056654</v>
      </c>
      <c r="I689" s="304">
        <f t="shared" ca="1" si="303"/>
        <v>105.63113201137111</v>
      </c>
      <c r="J689" s="306">
        <f t="shared" ca="1" si="304"/>
        <v>809.6451793302748</v>
      </c>
      <c r="K689" s="307">
        <f t="shared" ca="1" si="305"/>
        <v>-6.1255669836520461</v>
      </c>
      <c r="L689" s="304">
        <f t="shared" ca="1" si="290"/>
        <v>809.66835123007252</v>
      </c>
      <c r="M689" s="306">
        <f t="shared" ca="1" si="306"/>
        <v>-1.5564824738408862</v>
      </c>
      <c r="N689" s="304">
        <f t="shared" ca="1" si="307"/>
        <v>-89.179876637164341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1.7842999999999964</v>
      </c>
      <c r="T689" s="304">
        <f t="shared" ca="1" si="291"/>
        <v>17.503982999999966</v>
      </c>
      <c r="U689" s="311">
        <f t="shared" ca="1" si="292"/>
        <v>0</v>
      </c>
      <c r="V689" s="306">
        <f t="shared" ca="1" si="293"/>
        <v>1.2257506118516566</v>
      </c>
      <c r="W689" s="304">
        <f t="shared" ca="1" si="294"/>
        <v>18.359168668434602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-0.48028702529043343</v>
      </c>
      <c r="AH689" s="304">
        <f t="shared" ca="1" si="318"/>
        <v>-10.289282056058436</v>
      </c>
    </row>
    <row r="690" spans="1:34" x14ac:dyDescent="0.2">
      <c r="A690" s="347">
        <f t="shared" ca="1" si="296"/>
        <v>1E-4</v>
      </c>
      <c r="B690" s="304">
        <f t="shared" ca="1" si="297"/>
        <v>58.00330000000065</v>
      </c>
      <c r="D690" s="306">
        <f t="shared" ca="1" si="298"/>
        <v>-0.14727426277670935</v>
      </c>
      <c r="E690" s="307">
        <f t="shared" ca="1" si="299"/>
        <v>0.47822951784098677</v>
      </c>
      <c r="F690" s="304">
        <f t="shared" ca="1" si="300"/>
        <v>0.50039302574161237</v>
      </c>
      <c r="G690" s="306">
        <f t="shared" ca="1" si="301"/>
        <v>1.5119221331026991</v>
      </c>
      <c r="H690" s="307">
        <f t="shared" ca="1" si="302"/>
        <v>-105.62026318271361</v>
      </c>
      <c r="I690" s="304">
        <f t="shared" ca="1" si="303"/>
        <v>105.63108398252029</v>
      </c>
      <c r="J690" s="306">
        <f t="shared" ca="1" si="304"/>
        <v>809.6451793302748</v>
      </c>
      <c r="K690" s="307">
        <f t="shared" ca="1" si="305"/>
        <v>-6.1361290123614651</v>
      </c>
      <c r="L690" s="304">
        <f t="shared" ca="1" si="290"/>
        <v>809.66843120626186</v>
      </c>
      <c r="M690" s="306">
        <f t="shared" ca="1" si="306"/>
        <v>-1.556482606769658</v>
      </c>
      <c r="N690" s="304">
        <f t="shared" ca="1" si="307"/>
        <v>-89.179884253421946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1.7842999999999964</v>
      </c>
      <c r="T690" s="304">
        <f t="shared" ca="1" si="291"/>
        <v>17.503982999999966</v>
      </c>
      <c r="U690" s="311">
        <f t="shared" ca="1" si="292"/>
        <v>0</v>
      </c>
      <c r="V690" s="306">
        <f t="shared" ca="1" si="293"/>
        <v>1.2257519064937767</v>
      </c>
      <c r="W690" s="304">
        <f t="shared" ca="1" si="294"/>
        <v>18.359171364176323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-0.48028851747505996</v>
      </c>
      <c r="AH690" s="304">
        <f t="shared" ca="1" si="318"/>
        <v>-10.28928356690839</v>
      </c>
    </row>
    <row r="691" spans="1:34" x14ac:dyDescent="0.2">
      <c r="A691" s="347">
        <f t="shared" ca="1" si="296"/>
        <v>1E-4</v>
      </c>
      <c r="B691" s="304">
        <f t="shared" ca="1" si="297"/>
        <v>58.003400000000653</v>
      </c>
      <c r="D691" s="306">
        <f t="shared" ca="1" si="298"/>
        <v>-0.14727291679959506</v>
      </c>
      <c r="E691" s="307">
        <f t="shared" ca="1" si="299"/>
        <v>0.4782310480750418</v>
      </c>
      <c r="F691" s="304">
        <f t="shared" ca="1" si="300"/>
        <v>0.50039409205706398</v>
      </c>
      <c r="G691" s="306">
        <f t="shared" ca="1" si="301"/>
        <v>1.5119074058110191</v>
      </c>
      <c r="H691" s="307">
        <f t="shared" ca="1" si="302"/>
        <v>-105.62021535960881</v>
      </c>
      <c r="I691" s="304">
        <f t="shared" ca="1" si="303"/>
        <v>105.63103595352027</v>
      </c>
      <c r="J691" s="306">
        <f t="shared" ca="1" si="304"/>
        <v>809.6451793302748</v>
      </c>
      <c r="K691" s="307">
        <f t="shared" ca="1" si="305"/>
        <v>-6.1466910362885816</v>
      </c>
      <c r="L691" s="304">
        <f t="shared" ca="1" si="290"/>
        <v>809.66851132018735</v>
      </c>
      <c r="M691" s="306">
        <f t="shared" ca="1" si="306"/>
        <v>-1.5564827396972558</v>
      </c>
      <c r="N691" s="304">
        <f t="shared" ca="1" si="307"/>
        <v>-89.179891869612277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1.7842999999999964</v>
      </c>
      <c r="T691" s="304">
        <f t="shared" ca="1" si="291"/>
        <v>17.503982999999966</v>
      </c>
      <c r="U691" s="311">
        <f t="shared" ca="1" si="292"/>
        <v>0</v>
      </c>
      <c r="V691" s="306">
        <f t="shared" ca="1" si="293"/>
        <v>1.225753201136679</v>
      </c>
      <c r="W691" s="304">
        <f t="shared" ca="1" si="294"/>
        <v>18.359174059850215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-0.48029000962199753</v>
      </c>
      <c r="AH691" s="304">
        <f t="shared" ca="1" si="318"/>
        <v>-10.289285077720315</v>
      </c>
    </row>
    <row r="692" spans="1:34" x14ac:dyDescent="0.2">
      <c r="A692" s="347">
        <f t="shared" ca="1" si="296"/>
        <v>1E-4</v>
      </c>
      <c r="B692" s="304">
        <f t="shared" ca="1" si="297"/>
        <v>58.003500000000656</v>
      </c>
      <c r="D692" s="306">
        <f t="shared" ca="1" si="298"/>
        <v>-0.14727157083361034</v>
      </c>
      <c r="E692" s="307">
        <f t="shared" ca="1" si="299"/>
        <v>0.47823257827073995</v>
      </c>
      <c r="F692" s="304">
        <f t="shared" ca="1" si="300"/>
        <v>0.5003951583451608</v>
      </c>
      <c r="G692" s="306">
        <f t="shared" ca="1" si="301"/>
        <v>1.5118926786539357</v>
      </c>
      <c r="H692" s="307">
        <f t="shared" ca="1" si="302"/>
        <v>-105.62016753635098</v>
      </c>
      <c r="I692" s="304">
        <f t="shared" ca="1" si="303"/>
        <v>105.63098792437103</v>
      </c>
      <c r="J692" s="306">
        <f t="shared" ca="1" si="304"/>
        <v>809.6451793302748</v>
      </c>
      <c r="K692" s="307">
        <f t="shared" ca="1" si="305"/>
        <v>-6.1572530554333795</v>
      </c>
      <c r="L692" s="304">
        <f t="shared" ca="1" si="290"/>
        <v>809.66859157184888</v>
      </c>
      <c r="M692" s="306">
        <f t="shared" ca="1" si="306"/>
        <v>-1.5564828726236797</v>
      </c>
      <c r="N692" s="304">
        <f t="shared" ca="1" si="307"/>
        <v>-89.179899485735348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1.7842999999999964</v>
      </c>
      <c r="T692" s="304">
        <f t="shared" ca="1" si="291"/>
        <v>17.503982999999966</v>
      </c>
      <c r="U692" s="311">
        <f t="shared" ca="1" si="292"/>
        <v>0</v>
      </c>
      <c r="V692" s="306">
        <f t="shared" ca="1" si="293"/>
        <v>1.225754495780363</v>
      </c>
      <c r="W692" s="304">
        <f t="shared" ca="1" si="294"/>
        <v>18.359176755456268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-0.48029150173126212</v>
      </c>
      <c r="AH692" s="304">
        <f t="shared" ca="1" si="318"/>
        <v>-10.289286588494228</v>
      </c>
    </row>
    <row r="693" spans="1:34" x14ac:dyDescent="0.2">
      <c r="A693" s="347">
        <f t="shared" ca="1" si="296"/>
        <v>1E-4</v>
      </c>
      <c r="B693" s="304">
        <f t="shared" ca="1" si="297"/>
        <v>58.00360000000066</v>
      </c>
      <c r="D693" s="306">
        <f t="shared" ca="1" si="298"/>
        <v>-0.14727022487875507</v>
      </c>
      <c r="E693" s="307">
        <f t="shared" ca="1" si="299"/>
        <v>0.47823410842807057</v>
      </c>
      <c r="F693" s="304">
        <f t="shared" ca="1" si="300"/>
        <v>0.50039622460589228</v>
      </c>
      <c r="G693" s="306">
        <f t="shared" ca="1" si="301"/>
        <v>1.5118779516314478</v>
      </c>
      <c r="H693" s="307">
        <f t="shared" ca="1" si="302"/>
        <v>-105.62011971294014</v>
      </c>
      <c r="I693" s="304">
        <f t="shared" ca="1" si="303"/>
        <v>105.63093989507257</v>
      </c>
      <c r="J693" s="306">
        <f t="shared" ca="1" si="304"/>
        <v>809.6451793302748</v>
      </c>
      <c r="K693" s="307">
        <f t="shared" ca="1" si="305"/>
        <v>-6.1678150697958438</v>
      </c>
      <c r="L693" s="304">
        <f t="shared" ca="1" si="290"/>
        <v>809.6686719612461</v>
      </c>
      <c r="M693" s="306">
        <f t="shared" ca="1" si="306"/>
        <v>-1.5564830055489298</v>
      </c>
      <c r="N693" s="304">
        <f t="shared" ca="1" si="307"/>
        <v>-89.179907101791173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1.7842999999999964</v>
      </c>
      <c r="T693" s="304">
        <f t="shared" ca="1" si="291"/>
        <v>17.503982999999966</v>
      </c>
      <c r="U693" s="311">
        <f t="shared" ca="1" si="292"/>
        <v>0</v>
      </c>
      <c r="V693" s="306">
        <f t="shared" ca="1" si="293"/>
        <v>1.2257557904248286</v>
      </c>
      <c r="W693" s="304">
        <f t="shared" ca="1" si="294"/>
        <v>18.359179450994482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-0.48029299380284307</v>
      </c>
      <c r="AH693" s="304">
        <f t="shared" ca="1" si="318"/>
        <v>-10.28928809923012</v>
      </c>
    </row>
    <row r="694" spans="1:34" x14ac:dyDescent="0.2">
      <c r="A694" s="347">
        <f t="shared" ca="1" si="296"/>
        <v>1E-4</v>
      </c>
      <c r="B694" s="304">
        <f t="shared" ca="1" si="297"/>
        <v>58.003700000000663</v>
      </c>
      <c r="D694" s="306">
        <f t="shared" ca="1" si="298"/>
        <v>-0.14726887893502705</v>
      </c>
      <c r="E694" s="307">
        <f t="shared" ca="1" si="299"/>
        <v>0.47823563854703721</v>
      </c>
      <c r="F694" s="304">
        <f t="shared" ca="1" si="300"/>
        <v>0.5003972908392611</v>
      </c>
      <c r="G694" s="306">
        <f t="shared" ca="1" si="301"/>
        <v>1.5118632247435542</v>
      </c>
      <c r="H694" s="307">
        <f t="shared" ca="1" si="302"/>
        <v>-105.62007188937628</v>
      </c>
      <c r="I694" s="304">
        <f t="shared" ca="1" si="303"/>
        <v>105.63089186562492</v>
      </c>
      <c r="J694" s="306">
        <f t="shared" ca="1" si="304"/>
        <v>809.6451793302748</v>
      </c>
      <c r="K694" s="307">
        <f t="shared" ca="1" si="305"/>
        <v>-6.1783770793759594</v>
      </c>
      <c r="L694" s="304">
        <f t="shared" ca="1" si="290"/>
        <v>809.66875248837891</v>
      </c>
      <c r="M694" s="306">
        <f t="shared" ca="1" si="306"/>
        <v>-1.5564831384730058</v>
      </c>
      <c r="N694" s="304">
        <f t="shared" ca="1" si="307"/>
        <v>-89.179914717779724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1.7842999999999964</v>
      </c>
      <c r="T694" s="304">
        <f t="shared" ca="1" si="291"/>
        <v>17.503982999999966</v>
      </c>
      <c r="U694" s="311">
        <f t="shared" ca="1" si="292"/>
        <v>0</v>
      </c>
      <c r="V694" s="306">
        <f t="shared" ca="1" si="293"/>
        <v>1.2257570850700761</v>
      </c>
      <c r="W694" s="304">
        <f t="shared" ca="1" si="294"/>
        <v>18.359182146464875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 t="e">
        <f t="shared" ca="1" si="315"/>
        <v>#N/A</v>
      </c>
      <c r="AD694" s="323" t="e">
        <f t="shared" ca="1" si="316"/>
        <v>#N/A</v>
      </c>
      <c r="AE694" s="324" t="e">
        <f t="shared" ca="1" si="295"/>
        <v>#N/A</v>
      </c>
      <c r="AG694" s="306">
        <f t="shared" ca="1" si="317"/>
        <v>-0.48029448583674395</v>
      </c>
      <c r="AH694" s="304">
        <f t="shared" ca="1" si="318"/>
        <v>-10.289289609927993</v>
      </c>
    </row>
    <row r="695" spans="1:34" x14ac:dyDescent="0.2">
      <c r="A695" s="347">
        <f t="shared" ca="1" si="296"/>
        <v>1E-4</v>
      </c>
      <c r="B695" s="304">
        <f t="shared" ca="1" si="297"/>
        <v>58.003800000000666</v>
      </c>
      <c r="D695" s="306">
        <f t="shared" ca="1" si="298"/>
        <v>-0.14726753300243101</v>
      </c>
      <c r="E695" s="307">
        <f t="shared" ca="1" si="299"/>
        <v>0.47823716862765053</v>
      </c>
      <c r="F695" s="304">
        <f t="shared" ca="1" si="300"/>
        <v>0.50039835704527846</v>
      </c>
      <c r="G695" s="306">
        <f t="shared" ca="1" si="301"/>
        <v>1.511848497990254</v>
      </c>
      <c r="H695" s="307">
        <f t="shared" ca="1" si="302"/>
        <v>-105.62002406565941</v>
      </c>
      <c r="I695" s="304">
        <f t="shared" ca="1" si="303"/>
        <v>105.63084383602806</v>
      </c>
      <c r="J695" s="306">
        <f t="shared" ca="1" si="304"/>
        <v>809.6451793302748</v>
      </c>
      <c r="K695" s="307">
        <f t="shared" ca="1" si="305"/>
        <v>-6.1889390841737111</v>
      </c>
      <c r="L695" s="304">
        <f t="shared" ca="1" si="290"/>
        <v>809.66883315324696</v>
      </c>
      <c r="M695" s="306">
        <f t="shared" ca="1" si="306"/>
        <v>-1.5564832713959078</v>
      </c>
      <c r="N695" s="304">
        <f t="shared" ca="1" si="307"/>
        <v>-89.179922333701015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1.7842999999999964</v>
      </c>
      <c r="T695" s="304">
        <f t="shared" ca="1" si="291"/>
        <v>17.503982999999966</v>
      </c>
      <c r="U695" s="311">
        <f t="shared" ca="1" si="292"/>
        <v>0</v>
      </c>
      <c r="V695" s="306">
        <f t="shared" ca="1" si="293"/>
        <v>1.2257583797161047</v>
      </c>
      <c r="W695" s="304">
        <f t="shared" ca="1" si="294"/>
        <v>18.359184841867418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-0.48029597783297184</v>
      </c>
      <c r="AH695" s="304">
        <f t="shared" ca="1" si="318"/>
        <v>-10.289291120587857</v>
      </c>
    </row>
    <row r="696" spans="1:34" x14ac:dyDescent="0.2">
      <c r="A696" s="347">
        <f t="shared" ca="1" si="296"/>
        <v>1E-4</v>
      </c>
      <c r="B696" s="304">
        <f t="shared" ca="1" si="297"/>
        <v>58.003900000000669</v>
      </c>
      <c r="D696" s="306">
        <f t="shared" ca="1" si="298"/>
        <v>-0.14726618708096437</v>
      </c>
      <c r="E696" s="307">
        <f t="shared" ca="1" si="299"/>
        <v>0.47823869866988922</v>
      </c>
      <c r="F696" s="304">
        <f t="shared" ca="1" si="300"/>
        <v>0.50039942322392283</v>
      </c>
      <c r="G696" s="306">
        <f t="shared" ca="1" si="301"/>
        <v>1.511833771371546</v>
      </c>
      <c r="H696" s="307">
        <f t="shared" ca="1" si="302"/>
        <v>-105.61997624178954</v>
      </c>
      <c r="I696" s="304">
        <f t="shared" ca="1" si="303"/>
        <v>105.63079580628201</v>
      </c>
      <c r="J696" s="306">
        <f t="shared" ca="1" si="304"/>
        <v>809.6451793302748</v>
      </c>
      <c r="K696" s="307">
        <f t="shared" ca="1" si="305"/>
        <v>-6.1995010841890839</v>
      </c>
      <c r="L696" s="304">
        <f t="shared" ca="1" si="290"/>
        <v>809.66891395585003</v>
      </c>
      <c r="M696" s="306">
        <f t="shared" ca="1" si="306"/>
        <v>-1.5564834043176361</v>
      </c>
      <c r="N696" s="304">
        <f t="shared" ca="1" si="307"/>
        <v>-89.179929949555046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1.7842999999999964</v>
      </c>
      <c r="T696" s="304">
        <f t="shared" ca="1" si="291"/>
        <v>17.503982999999966</v>
      </c>
      <c r="U696" s="311">
        <f t="shared" ca="1" si="292"/>
        <v>0</v>
      </c>
      <c r="V696" s="306">
        <f t="shared" ca="1" si="293"/>
        <v>1.2257596743629151</v>
      </c>
      <c r="W696" s="304">
        <f t="shared" ca="1" si="294"/>
        <v>18.359187537202139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-0.48029746979151078</v>
      </c>
      <c r="AH696" s="304">
        <f t="shared" ca="1" si="318"/>
        <v>-10.289292631209692</v>
      </c>
    </row>
    <row r="697" spans="1:34" x14ac:dyDescent="0.2">
      <c r="A697" s="347">
        <f t="shared" ca="1" si="296"/>
        <v>1E-4</v>
      </c>
      <c r="B697" s="304">
        <f t="shared" ca="1" si="297"/>
        <v>58.004000000000673</v>
      </c>
      <c r="D697" s="306">
        <f t="shared" ca="1" si="298"/>
        <v>-0.14726484117062519</v>
      </c>
      <c r="E697" s="307">
        <f t="shared" ca="1" si="299"/>
        <v>0.47824022867377458</v>
      </c>
      <c r="F697" s="304">
        <f t="shared" ca="1" si="300"/>
        <v>0.50040048937521397</v>
      </c>
      <c r="G697" s="306">
        <f t="shared" ca="1" si="301"/>
        <v>1.5118190448874289</v>
      </c>
      <c r="H697" s="307">
        <f t="shared" ca="1" si="302"/>
        <v>-105.61992841776667</v>
      </c>
      <c r="I697" s="304">
        <f t="shared" ca="1" si="303"/>
        <v>105.63074777638677</v>
      </c>
      <c r="J697" s="306">
        <f t="shared" ca="1" si="304"/>
        <v>809.6451793302748</v>
      </c>
      <c r="K697" s="307">
        <f t="shared" ca="1" si="305"/>
        <v>-6.2100630794220617</v>
      </c>
      <c r="L697" s="304">
        <f t="shared" ca="1" si="290"/>
        <v>809.668994896188</v>
      </c>
      <c r="M697" s="306">
        <f t="shared" ca="1" si="306"/>
        <v>-1.5564835372381904</v>
      </c>
      <c r="N697" s="304">
        <f t="shared" ca="1" si="307"/>
        <v>-89.179937565341817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1.7842999999999964</v>
      </c>
      <c r="T697" s="304">
        <f t="shared" ca="1" si="291"/>
        <v>17.503982999999966</v>
      </c>
      <c r="U697" s="311">
        <f t="shared" ca="1" si="292"/>
        <v>0</v>
      </c>
      <c r="V697" s="306">
        <f t="shared" ca="1" si="293"/>
        <v>1.2257609690105071</v>
      </c>
      <c r="W697" s="304">
        <f t="shared" ca="1" si="294"/>
        <v>18.359190232469025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-0.48029896171237851</v>
      </c>
      <c r="AH697" s="304">
        <f t="shared" ca="1" si="318"/>
        <v>-10.289294141793519</v>
      </c>
    </row>
    <row r="698" spans="1:34" x14ac:dyDescent="0.2">
      <c r="A698" s="347">
        <f t="shared" ca="1" si="296"/>
        <v>1E-4</v>
      </c>
      <c r="B698" s="304">
        <f t="shared" ca="1" si="297"/>
        <v>58.004100000000676</v>
      </c>
      <c r="D698" s="306">
        <f t="shared" ca="1" si="298"/>
        <v>-0.14726349527141558</v>
      </c>
      <c r="E698" s="307">
        <f t="shared" ca="1" si="299"/>
        <v>0.47824175863929597</v>
      </c>
      <c r="F698" s="304">
        <f t="shared" ca="1" si="300"/>
        <v>0.500401555499142</v>
      </c>
      <c r="G698" s="306">
        <f t="shared" ca="1" si="301"/>
        <v>1.5118043185379018</v>
      </c>
      <c r="H698" s="307">
        <f t="shared" ca="1" si="302"/>
        <v>-105.61988059359081</v>
      </c>
      <c r="I698" s="304">
        <f t="shared" ca="1" si="303"/>
        <v>105.63069974634234</v>
      </c>
      <c r="J698" s="306">
        <f t="shared" ca="1" si="304"/>
        <v>809.6451793302748</v>
      </c>
      <c r="K698" s="307">
        <f t="shared" ca="1" si="305"/>
        <v>-6.2206250698726295</v>
      </c>
      <c r="L698" s="304">
        <f t="shared" ca="1" si="290"/>
        <v>809.66907597426041</v>
      </c>
      <c r="M698" s="306">
        <f t="shared" ca="1" si="306"/>
        <v>-1.5564836701575708</v>
      </c>
      <c r="N698" s="304">
        <f t="shared" ca="1" si="307"/>
        <v>-89.179945181061328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1.7842999999999964</v>
      </c>
      <c r="T698" s="304">
        <f t="shared" ca="1" si="291"/>
        <v>17.503982999999966</v>
      </c>
      <c r="U698" s="311">
        <f t="shared" ca="1" si="292"/>
        <v>0</v>
      </c>
      <c r="V698" s="306">
        <f t="shared" ca="1" si="293"/>
        <v>1.225762263658881</v>
      </c>
      <c r="W698" s="304">
        <f t="shared" ca="1" si="294"/>
        <v>18.35919292766809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-0.48030045359556617</v>
      </c>
      <c r="AH698" s="304">
        <f t="shared" ca="1" si="318"/>
        <v>-10.289295652339327</v>
      </c>
    </row>
    <row r="699" spans="1:34" x14ac:dyDescent="0.2">
      <c r="A699" s="347">
        <f t="shared" ca="1" si="296"/>
        <v>1E-4</v>
      </c>
      <c r="B699" s="304">
        <f t="shared" ca="1" si="297"/>
        <v>58.004200000000679</v>
      </c>
      <c r="D699" s="306">
        <f t="shared" ca="1" si="298"/>
        <v>-0.14726214938333576</v>
      </c>
      <c r="E699" s="307">
        <f t="shared" ca="1" si="299"/>
        <v>0.47824328856646403</v>
      </c>
      <c r="F699" s="304">
        <f t="shared" ca="1" si="300"/>
        <v>0.50040262159571669</v>
      </c>
      <c r="G699" s="306">
        <f t="shared" ca="1" si="301"/>
        <v>1.5117895923229634</v>
      </c>
      <c r="H699" s="307">
        <f t="shared" ca="1" si="302"/>
        <v>-105.61983276926195</v>
      </c>
      <c r="I699" s="304">
        <f t="shared" ca="1" si="303"/>
        <v>105.63065171614873</v>
      </c>
      <c r="J699" s="306">
        <f t="shared" ca="1" si="304"/>
        <v>809.6451793302748</v>
      </c>
      <c r="K699" s="307">
        <f t="shared" ca="1" si="305"/>
        <v>-6.2311870555407722</v>
      </c>
      <c r="L699" s="304">
        <f t="shared" ca="1" si="290"/>
        <v>809.66915719006738</v>
      </c>
      <c r="M699" s="306">
        <f t="shared" ca="1" si="306"/>
        <v>-1.5564838030757775</v>
      </c>
      <c r="N699" s="304">
        <f t="shared" ca="1" si="307"/>
        <v>-89.179952796713593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1.7842999999999964</v>
      </c>
      <c r="T699" s="304">
        <f t="shared" ca="1" si="291"/>
        <v>17.503982999999966</v>
      </c>
      <c r="U699" s="311">
        <f t="shared" ca="1" si="292"/>
        <v>0</v>
      </c>
      <c r="V699" s="306">
        <f t="shared" ca="1" si="293"/>
        <v>1.2257635583080362</v>
      </c>
      <c r="W699" s="304">
        <f t="shared" ca="1" si="294"/>
        <v>18.359195622799323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-0.48030194544108262</v>
      </c>
      <c r="AH699" s="304">
        <f t="shared" ca="1" si="318"/>
        <v>-10.289297162847125</v>
      </c>
    </row>
    <row r="700" spans="1:34" x14ac:dyDescent="0.2">
      <c r="A700" s="347">
        <f t="shared" ca="1" si="296"/>
        <v>1E-4</v>
      </c>
      <c r="B700" s="304">
        <f t="shared" ca="1" si="297"/>
        <v>58.004300000000683</v>
      </c>
      <c r="D700" s="306">
        <f t="shared" ca="1" si="298"/>
        <v>-0.14726080350638335</v>
      </c>
      <c r="E700" s="307">
        <f t="shared" ca="1" si="299"/>
        <v>0.47824481845527167</v>
      </c>
      <c r="F700" s="304">
        <f t="shared" ca="1" si="300"/>
        <v>0.5004036876649306</v>
      </c>
      <c r="G700" s="306">
        <f t="shared" ca="1" si="301"/>
        <v>1.5117748662426127</v>
      </c>
      <c r="H700" s="307">
        <f t="shared" ca="1" si="302"/>
        <v>-105.61978494478011</v>
      </c>
      <c r="I700" s="304">
        <f t="shared" ca="1" si="303"/>
        <v>105.63060368580594</v>
      </c>
      <c r="J700" s="306">
        <f t="shared" ca="1" si="304"/>
        <v>809.6451793302748</v>
      </c>
      <c r="K700" s="307">
        <f t="shared" ca="1" si="305"/>
        <v>-6.2417490364264747</v>
      </c>
      <c r="L700" s="304">
        <f t="shared" ca="1" si="290"/>
        <v>809.66923854360834</v>
      </c>
      <c r="M700" s="306">
        <f t="shared" ca="1" si="306"/>
        <v>-1.5564839359928102</v>
      </c>
      <c r="N700" s="304">
        <f t="shared" ca="1" si="307"/>
        <v>-89.179960412298598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1.7842999999999964</v>
      </c>
      <c r="T700" s="304">
        <f t="shared" ca="1" si="291"/>
        <v>17.503982999999966</v>
      </c>
      <c r="U700" s="311">
        <f t="shared" ca="1" si="292"/>
        <v>0</v>
      </c>
      <c r="V700" s="306">
        <f t="shared" ca="1" si="293"/>
        <v>1.2257648529579732</v>
      </c>
      <c r="W700" s="304">
        <f t="shared" ca="1" si="294"/>
        <v>18.359198317862731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-0.48030343724892077</v>
      </c>
      <c r="AH700" s="304">
        <f t="shared" ca="1" si="318"/>
        <v>-10.289298673316909</v>
      </c>
    </row>
    <row r="701" spans="1:34" x14ac:dyDescent="0.2">
      <c r="A701" s="347">
        <f t="shared" ca="1" si="296"/>
        <v>1E-4</v>
      </c>
      <c r="B701" s="304">
        <f t="shared" ca="1" si="297"/>
        <v>58.004400000000686</v>
      </c>
      <c r="D701" s="306">
        <f t="shared" ca="1" si="298"/>
        <v>-0.1472594576405607</v>
      </c>
      <c r="E701" s="307">
        <f t="shared" ca="1" si="299"/>
        <v>0.47824634830572066</v>
      </c>
      <c r="F701" s="304">
        <f t="shared" ca="1" si="300"/>
        <v>0.50040475370678561</v>
      </c>
      <c r="G701" s="306">
        <f t="shared" ca="1" si="301"/>
        <v>1.5117601402968486</v>
      </c>
      <c r="H701" s="307">
        <f t="shared" ca="1" si="302"/>
        <v>-105.61973712014527</v>
      </c>
      <c r="I701" s="304">
        <f t="shared" ca="1" si="303"/>
        <v>105.63055565531398</v>
      </c>
      <c r="J701" s="306">
        <f t="shared" ca="1" si="304"/>
        <v>809.6451793302748</v>
      </c>
      <c r="K701" s="307">
        <f t="shared" ca="1" si="305"/>
        <v>-6.252311012529721</v>
      </c>
      <c r="L701" s="304">
        <f t="shared" ca="1" si="290"/>
        <v>809.6693200348833</v>
      </c>
      <c r="M701" s="306">
        <f t="shared" ca="1" si="306"/>
        <v>-1.5564840689086692</v>
      </c>
      <c r="N701" s="304">
        <f t="shared" ca="1" si="307"/>
        <v>-89.179968027816344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1.7842999999999964</v>
      </c>
      <c r="T701" s="304">
        <f t="shared" ca="1" si="291"/>
        <v>17.503982999999966</v>
      </c>
      <c r="U701" s="311">
        <f t="shared" ca="1" si="292"/>
        <v>0</v>
      </c>
      <c r="V701" s="306">
        <f t="shared" ca="1" si="293"/>
        <v>1.2257661476086914</v>
      </c>
      <c r="W701" s="304">
        <f t="shared" ca="1" si="294"/>
        <v>18.359201012858314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-0.48030492901908417</v>
      </c>
      <c r="AH701" s="304">
        <f t="shared" ca="1" si="318"/>
        <v>-10.289300183748679</v>
      </c>
    </row>
    <row r="702" spans="1:34" x14ac:dyDescent="0.2">
      <c r="A702" s="347">
        <f t="shared" ca="1" si="296"/>
        <v>1E-4</v>
      </c>
      <c r="B702" s="304">
        <f t="shared" ca="1" si="297"/>
        <v>58.004500000000689</v>
      </c>
      <c r="D702" s="306">
        <f t="shared" ca="1" si="298"/>
        <v>-0.14725811178586551</v>
      </c>
      <c r="E702" s="307">
        <f t="shared" ca="1" si="299"/>
        <v>0.47824787811781455</v>
      </c>
      <c r="F702" s="304">
        <f t="shared" ca="1" si="300"/>
        <v>0.50040581972128428</v>
      </c>
      <c r="G702" s="306">
        <f t="shared" ca="1" si="301"/>
        <v>1.5117454144856699</v>
      </c>
      <c r="H702" s="307">
        <f t="shared" ca="1" si="302"/>
        <v>-105.61968929535746</v>
      </c>
      <c r="I702" s="304">
        <f t="shared" ca="1" si="303"/>
        <v>105.63050762467283</v>
      </c>
      <c r="J702" s="306">
        <f t="shared" ca="1" si="304"/>
        <v>809.6451793302748</v>
      </c>
      <c r="K702" s="307">
        <f t="shared" ca="1" si="305"/>
        <v>-6.262872983850496</v>
      </c>
      <c r="L702" s="304">
        <f t="shared" ca="1" si="290"/>
        <v>809.6694016638919</v>
      </c>
      <c r="M702" s="306">
        <f t="shared" ca="1" si="306"/>
        <v>-1.5564842018233542</v>
      </c>
      <c r="N702" s="304">
        <f t="shared" ca="1" si="307"/>
        <v>-89.179975643266829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1.7842999999999964</v>
      </c>
      <c r="T702" s="304">
        <f t="shared" ca="1" si="291"/>
        <v>17.503982999999966</v>
      </c>
      <c r="U702" s="311">
        <f t="shared" ca="1" si="292"/>
        <v>0</v>
      </c>
      <c r="V702" s="306">
        <f t="shared" ca="1" si="293"/>
        <v>1.2257674422601916</v>
      </c>
      <c r="W702" s="304">
        <f t="shared" ca="1" si="294"/>
        <v>18.359203707786065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-0.48030642075157459</v>
      </c>
      <c r="AH702" s="304">
        <f t="shared" ca="1" si="318"/>
        <v>-10.289301694142438</v>
      </c>
    </row>
    <row r="703" spans="1:34" x14ac:dyDescent="0.2">
      <c r="A703" s="347">
        <f t="shared" ca="1" si="296"/>
        <v>1E-4</v>
      </c>
      <c r="B703" s="304">
        <f t="shared" ca="1" si="297"/>
        <v>58.004600000000693</v>
      </c>
      <c r="D703" s="306">
        <f t="shared" ca="1" si="298"/>
        <v>-0.14725676594230008</v>
      </c>
      <c r="E703" s="307">
        <f t="shared" ca="1" si="299"/>
        <v>0.47824940789154269</v>
      </c>
      <c r="F703" s="304">
        <f t="shared" ca="1" si="300"/>
        <v>0.50040688570841685</v>
      </c>
      <c r="G703" s="306">
        <f t="shared" ca="1" si="301"/>
        <v>1.5117306888090756</v>
      </c>
      <c r="H703" s="307">
        <f t="shared" ca="1" si="302"/>
        <v>-105.61964147041667</v>
      </c>
      <c r="I703" s="304">
        <f t="shared" ca="1" si="303"/>
        <v>105.63045959388252</v>
      </c>
      <c r="J703" s="306">
        <f t="shared" ca="1" si="304"/>
        <v>809.6451793302748</v>
      </c>
      <c r="K703" s="307">
        <f t="shared" ca="1" si="305"/>
        <v>-6.2734349503887845</v>
      </c>
      <c r="L703" s="304">
        <f t="shared" ca="1" si="290"/>
        <v>809.66948343063393</v>
      </c>
      <c r="M703" s="306">
        <f t="shared" ca="1" si="306"/>
        <v>-1.5564843347368653</v>
      </c>
      <c r="N703" s="304">
        <f t="shared" ca="1" si="307"/>
        <v>-89.179983258650054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1.7842999999999964</v>
      </c>
      <c r="T703" s="304">
        <f t="shared" ca="1" si="291"/>
        <v>17.503982999999966</v>
      </c>
      <c r="U703" s="311">
        <f t="shared" ca="1" si="292"/>
        <v>0</v>
      </c>
      <c r="V703" s="306">
        <f t="shared" ca="1" si="293"/>
        <v>1.2257687369124735</v>
      </c>
      <c r="W703" s="304">
        <f t="shared" ca="1" si="294"/>
        <v>18.359206402646002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-0.48030791244638671</v>
      </c>
      <c r="AH703" s="304">
        <f t="shared" ca="1" si="318"/>
        <v>-10.289303204498179</v>
      </c>
    </row>
    <row r="704" spans="1:34" x14ac:dyDescent="0.2">
      <c r="A704" s="347">
        <f t="shared" ca="1" si="296"/>
        <v>1E-4</v>
      </c>
      <c r="B704" s="304">
        <f t="shared" ca="1" si="297"/>
        <v>58.004700000000696</v>
      </c>
      <c r="D704" s="306">
        <f t="shared" ca="1" si="298"/>
        <v>-0.14725542010986459</v>
      </c>
      <c r="E704" s="307">
        <f t="shared" ca="1" si="299"/>
        <v>0.47825093762692461</v>
      </c>
      <c r="F704" s="304">
        <f t="shared" ca="1" si="300"/>
        <v>0.50040795166820162</v>
      </c>
      <c r="G704" s="306">
        <f t="shared" ca="1" si="301"/>
        <v>1.5117159632670645</v>
      </c>
      <c r="H704" s="307">
        <f t="shared" ca="1" si="302"/>
        <v>-105.61959364532291</v>
      </c>
      <c r="I704" s="304">
        <f t="shared" ca="1" si="303"/>
        <v>105.63041156294305</v>
      </c>
      <c r="J704" s="306">
        <f t="shared" ca="1" si="304"/>
        <v>809.6451793302748</v>
      </c>
      <c r="K704" s="307">
        <f t="shared" ca="1" si="305"/>
        <v>-6.2839969121445716</v>
      </c>
      <c r="L704" s="304">
        <f t="shared" ca="1" si="290"/>
        <v>809.66956533510916</v>
      </c>
      <c r="M704" s="306">
        <f t="shared" ca="1" si="306"/>
        <v>-1.5564844676492029</v>
      </c>
      <c r="N704" s="304">
        <f t="shared" ca="1" si="307"/>
        <v>-89.179990873966048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1.7842999999999964</v>
      </c>
      <c r="T704" s="304">
        <f t="shared" ca="1" si="291"/>
        <v>17.503982999999966</v>
      </c>
      <c r="U704" s="311">
        <f t="shared" ca="1" si="292"/>
        <v>0</v>
      </c>
      <c r="V704" s="306">
        <f t="shared" ca="1" si="293"/>
        <v>1.2257700315655369</v>
      </c>
      <c r="W704" s="304">
        <f t="shared" ca="1" si="294"/>
        <v>18.359209097438121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 t="e">
        <f t="shared" ca="1" si="315"/>
        <v>#N/A</v>
      </c>
      <c r="AD704" s="323" t="e">
        <f t="shared" ca="1" si="316"/>
        <v>#N/A</v>
      </c>
      <c r="AE704" s="324" t="e">
        <f t="shared" ca="1" si="295"/>
        <v>#N/A</v>
      </c>
      <c r="AG704" s="306">
        <f t="shared" ca="1" si="317"/>
        <v>-0.48030940410353296</v>
      </c>
      <c r="AH704" s="304">
        <f t="shared" ca="1" si="318"/>
        <v>-10.289304714815916</v>
      </c>
    </row>
    <row r="705" spans="1:34" x14ac:dyDescent="0.2">
      <c r="A705" s="347">
        <f t="shared" ca="1" si="296"/>
        <v>1E-4</v>
      </c>
      <c r="B705" s="304">
        <f t="shared" ca="1" si="297"/>
        <v>58.004800000000699</v>
      </c>
      <c r="D705" s="306">
        <f t="shared" ca="1" si="298"/>
        <v>-0.14725407428855442</v>
      </c>
      <c r="E705" s="307">
        <f t="shared" ca="1" si="299"/>
        <v>0.47825246732395321</v>
      </c>
      <c r="F705" s="304">
        <f t="shared" ca="1" si="300"/>
        <v>0.50040901760063039</v>
      </c>
      <c r="G705" s="306">
        <f t="shared" ca="1" si="301"/>
        <v>1.5117012378596357</v>
      </c>
      <c r="H705" s="307">
        <f t="shared" ca="1" si="302"/>
        <v>-105.61954582007617</v>
      </c>
      <c r="I705" s="304">
        <f t="shared" ca="1" si="303"/>
        <v>105.6303635318544</v>
      </c>
      <c r="J705" s="306">
        <f t="shared" ca="1" si="304"/>
        <v>809.6451793302748</v>
      </c>
      <c r="K705" s="307">
        <f t="shared" ca="1" si="305"/>
        <v>-6.2945588691178411</v>
      </c>
      <c r="L705" s="304">
        <f t="shared" ca="1" si="290"/>
        <v>809.66964737731746</v>
      </c>
      <c r="M705" s="306">
        <f t="shared" ca="1" si="306"/>
        <v>-1.5564846005603665</v>
      </c>
      <c r="N705" s="304">
        <f t="shared" ca="1" si="307"/>
        <v>-89.179998489214768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1.7842999999999964</v>
      </c>
      <c r="T705" s="304">
        <f t="shared" ca="1" si="291"/>
        <v>17.503982999999966</v>
      </c>
      <c r="U705" s="311">
        <f t="shared" ca="1" si="292"/>
        <v>0</v>
      </c>
      <c r="V705" s="306">
        <f t="shared" ca="1" si="293"/>
        <v>1.2257713262193817</v>
      </c>
      <c r="W705" s="304">
        <f t="shared" ca="1" si="294"/>
        <v>18.359211792162402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-0.48031089572300623</v>
      </c>
      <c r="AH705" s="304">
        <f t="shared" ca="1" si="318"/>
        <v>-10.289306225095645</v>
      </c>
    </row>
    <row r="706" spans="1:34" x14ac:dyDescent="0.2">
      <c r="A706" s="347">
        <f t="shared" ca="1" si="296"/>
        <v>1E-4</v>
      </c>
      <c r="B706" s="304">
        <f t="shared" ca="1" si="297"/>
        <v>58.004900000000703</v>
      </c>
      <c r="D706" s="306">
        <f t="shared" ca="1" si="298"/>
        <v>-0.14725272847837398</v>
      </c>
      <c r="E706" s="307">
        <f t="shared" ca="1" si="299"/>
        <v>0.47825399698261428</v>
      </c>
      <c r="F706" s="304">
        <f t="shared" ca="1" si="300"/>
        <v>0.50041008350569061</v>
      </c>
      <c r="G706" s="306">
        <f t="shared" ca="1" si="301"/>
        <v>1.511686512586788</v>
      </c>
      <c r="H706" s="307">
        <f t="shared" ca="1" si="302"/>
        <v>-105.61949799467646</v>
      </c>
      <c r="I706" s="304">
        <f t="shared" ca="1" si="303"/>
        <v>105.63031550061659</v>
      </c>
      <c r="J706" s="306">
        <f t="shared" ca="1" si="304"/>
        <v>809.6451793302748</v>
      </c>
      <c r="K706" s="307">
        <f t="shared" ca="1" si="305"/>
        <v>-6.305120821308579</v>
      </c>
      <c r="L706" s="304">
        <f t="shared" ca="1" si="290"/>
        <v>809.66972955725851</v>
      </c>
      <c r="M706" s="306">
        <f t="shared" ca="1" si="306"/>
        <v>-1.5564847334703562</v>
      </c>
      <c r="N706" s="304">
        <f t="shared" ca="1" si="307"/>
        <v>-89.180006104396242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1.7842999999999964</v>
      </c>
      <c r="T706" s="304">
        <f t="shared" ca="1" si="291"/>
        <v>17.503982999999966</v>
      </c>
      <c r="U706" s="311">
        <f t="shared" ca="1" si="292"/>
        <v>0</v>
      </c>
      <c r="V706" s="306">
        <f t="shared" ca="1" si="293"/>
        <v>1.2257726208740083</v>
      </c>
      <c r="W706" s="304">
        <f t="shared" ca="1" si="294"/>
        <v>18.359214486818871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-0.48031238730479764</v>
      </c>
      <c r="AH706" s="304">
        <f t="shared" ca="1" si="318"/>
        <v>-10.289307735337353</v>
      </c>
    </row>
    <row r="707" spans="1:34" x14ac:dyDescent="0.2">
      <c r="A707" s="347">
        <f t="shared" ca="1" si="296"/>
        <v>1E-4</v>
      </c>
      <c r="B707" s="304">
        <f t="shared" ca="1" si="297"/>
        <v>58.005000000000706</v>
      </c>
      <c r="D707" s="306">
        <f t="shared" ca="1" si="298"/>
        <v>-0.14725138267932356</v>
      </c>
      <c r="E707" s="307">
        <f t="shared" ca="1" si="299"/>
        <v>0.47825552660292736</v>
      </c>
      <c r="F707" s="304">
        <f t="shared" ca="1" si="300"/>
        <v>0.50041114938340048</v>
      </c>
      <c r="G707" s="306">
        <f t="shared" ca="1" si="301"/>
        <v>1.5116717874485202</v>
      </c>
      <c r="H707" s="307">
        <f t="shared" ca="1" si="302"/>
        <v>-105.61945016912381</v>
      </c>
      <c r="I707" s="304">
        <f t="shared" ca="1" si="303"/>
        <v>105.63026746922965</v>
      </c>
      <c r="J707" s="306">
        <f t="shared" ca="1" si="304"/>
        <v>809.6451793302748</v>
      </c>
      <c r="K707" s="307">
        <f t="shared" ca="1" si="305"/>
        <v>-6.3156827687167691</v>
      </c>
      <c r="L707" s="304">
        <f t="shared" ca="1" si="290"/>
        <v>809.66981187493207</v>
      </c>
      <c r="M707" s="306">
        <f t="shared" ca="1" si="306"/>
        <v>-1.5564848663791722</v>
      </c>
      <c r="N707" s="304">
        <f t="shared" ca="1" si="307"/>
        <v>-89.180013719510455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1.7842999999999964</v>
      </c>
      <c r="T707" s="304">
        <f t="shared" ca="1" si="291"/>
        <v>17.503982999999966</v>
      </c>
      <c r="U707" s="311">
        <f t="shared" ca="1" si="292"/>
        <v>0</v>
      </c>
      <c r="V707" s="306">
        <f t="shared" ca="1" si="293"/>
        <v>1.2257739155294165</v>
      </c>
      <c r="W707" s="304">
        <f t="shared" ca="1" si="294"/>
        <v>18.35921718140753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-0.48031387884892673</v>
      </c>
      <c r="AH707" s="304">
        <f t="shared" ca="1" si="318"/>
        <v>-10.289309245541057</v>
      </c>
    </row>
    <row r="708" spans="1:34" x14ac:dyDescent="0.2">
      <c r="A708" s="347">
        <f t="shared" ca="1" si="296"/>
        <v>1E-4</v>
      </c>
      <c r="B708" s="304">
        <f t="shared" ca="1" si="297"/>
        <v>58.005100000000709</v>
      </c>
      <c r="D708" s="306">
        <f t="shared" ca="1" si="298"/>
        <v>-0.14725003689140084</v>
      </c>
      <c r="E708" s="307">
        <f t="shared" ca="1" si="299"/>
        <v>0.47825705618489245</v>
      </c>
      <c r="F708" s="304">
        <f t="shared" ca="1" si="300"/>
        <v>0.50041221523375934</v>
      </c>
      <c r="G708" s="306">
        <f t="shared" ca="1" si="301"/>
        <v>1.5116570624448311</v>
      </c>
      <c r="H708" s="307">
        <f t="shared" ca="1" si="302"/>
        <v>-105.61940234341819</v>
      </c>
      <c r="I708" s="304">
        <f t="shared" ca="1" si="303"/>
        <v>105.63021943769354</v>
      </c>
      <c r="J708" s="306">
        <f t="shared" ca="1" si="304"/>
        <v>809.6451793302748</v>
      </c>
      <c r="K708" s="307">
        <f t="shared" ca="1" si="305"/>
        <v>-6.3262447113423965</v>
      </c>
      <c r="L708" s="304">
        <f t="shared" ref="L708:L771" ca="1" si="319">SQRT(pos_x^2+pos_z^2)</f>
        <v>809.66989433033802</v>
      </c>
      <c r="M708" s="306">
        <f t="shared" ca="1" si="306"/>
        <v>-1.5564849992868144</v>
      </c>
      <c r="N708" s="304">
        <f t="shared" ca="1" si="307"/>
        <v>-89.180021334557409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1.7842999999999964</v>
      </c>
      <c r="T708" s="304">
        <f t="shared" ref="T708:T771" ca="1" si="320">m*g</f>
        <v>17.503982999999966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1.2257752101856063</v>
      </c>
      <c r="W708" s="304">
        <f t="shared" ref="W708:W771" ca="1" si="323">1/2*Rho*Sref*Cx*vit_xz^2</f>
        <v>18.359219875928364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-0.48031537035538463</v>
      </c>
      <c r="AH708" s="304">
        <f t="shared" ca="1" si="318"/>
        <v>-10.289310755706756</v>
      </c>
    </row>
    <row r="709" spans="1:34" x14ac:dyDescent="0.2">
      <c r="A709" s="347">
        <f t="shared" ref="A709:A772" ca="1" si="325">IF(B708+0.01&lt;=T_ini+ROUNDUP(Temps_fin_propu,0), 0.01, IF(K708&gt;0, 0.1, 0.0001))</f>
        <v>1E-4</v>
      </c>
      <c r="B709" s="304">
        <f t="shared" ref="B709:B772" ca="1" si="326">B708+pas</f>
        <v>58.005200000000713</v>
      </c>
      <c r="D709" s="306">
        <f t="shared" ref="D709:D772" ca="1" si="327">IF(AND(L708&lt;L_rampe,Poussee&lt;Poids*SIN(M708)),0,(-W708+Poussee)/m*COS(M708)-U708/m*SIN(M708))</f>
        <v>-0.14724869111460578</v>
      </c>
      <c r="E709" s="307">
        <f t="shared" ref="E709:E772" ca="1" si="328">IF(AND(L708&lt;L_rampe,Poussee&lt;Poids*SIN(M708)),0,(-W708+Poussee)/m*SIN(M708)+U708/m*COS(M708)-Poids/m)</f>
        <v>0.47825858572849889</v>
      </c>
      <c r="F709" s="304">
        <f t="shared" ref="F709:F772" ca="1" si="329">SQRT(acc_x^2+acc_z^2)</f>
        <v>0.50041328105675664</v>
      </c>
      <c r="G709" s="306">
        <f t="shared" ref="G709:G772" ca="1" si="330">G708+acc_x*pas</f>
        <v>1.5116423375757198</v>
      </c>
      <c r="H709" s="307">
        <f t="shared" ref="H709:H772" ca="1" si="331">H708+acc_z*pas</f>
        <v>-105.61935451755961</v>
      </c>
      <c r="I709" s="304">
        <f t="shared" ref="I709:I772" ca="1" si="332">SQRT(vit_x^2+vit_z^2)</f>
        <v>105.6301714060083</v>
      </c>
      <c r="J709" s="306">
        <f t="shared" ref="J709:J772" ca="1" si="333">J708+0.5*(vit_x+G708)*pas*(K708&gt;=0)</f>
        <v>809.6451793302748</v>
      </c>
      <c r="K709" s="307">
        <f t="shared" ref="K709:K772" ca="1" si="334">K708+0.5*(vit_z+H708)*pas</f>
        <v>-6.3368066491854451</v>
      </c>
      <c r="L709" s="304">
        <f t="shared" ca="1" si="319"/>
        <v>809.66997692347593</v>
      </c>
      <c r="M709" s="306">
        <f t="shared" ref="M709:M772" ca="1" si="335">IF(AND(L708&gt;L_rampe,G709&gt;0),ATAN2(G709,H709),$M$4)</f>
        <v>-1.5564851321932829</v>
      </c>
      <c r="N709" s="304">
        <f t="shared" ref="N709:N772" ca="1" si="336">DEGREES(Beta)</f>
        <v>-89.180028949537132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1.7842999999999964</v>
      </c>
      <c r="T709" s="304">
        <f t="shared" ca="1" si="320"/>
        <v>17.503982999999966</v>
      </c>
      <c r="U709" s="311">
        <f t="shared" ca="1" si="321"/>
        <v>0</v>
      </c>
      <c r="V709" s="306">
        <f t="shared" ca="1" si="322"/>
        <v>1.2257765048425779</v>
      </c>
      <c r="W709" s="304">
        <f t="shared" ca="1" si="323"/>
        <v>18.359222570381394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-0.4803168618241731</v>
      </c>
      <c r="AH709" s="304">
        <f t="shared" ref="AH709:AH772" ca="1" si="347">IF(AND(L708&lt;L_rampe,Poussee&lt;Poids*SIN(M708)), g*SIN(M708), (-W708+Poussee)/m)</f>
        <v>-10.289312265834445</v>
      </c>
    </row>
    <row r="710" spans="1:34" x14ac:dyDescent="0.2">
      <c r="A710" s="347">
        <f t="shared" ca="1" si="325"/>
        <v>1E-4</v>
      </c>
      <c r="B710" s="304">
        <f t="shared" ca="1" si="326"/>
        <v>58.005300000000716</v>
      </c>
      <c r="D710" s="306">
        <f t="shared" ca="1" si="327"/>
        <v>-0.1472473453489386</v>
      </c>
      <c r="E710" s="307">
        <f t="shared" ca="1" si="328"/>
        <v>0.47826011523376266</v>
      </c>
      <c r="F710" s="304">
        <f t="shared" ca="1" si="329"/>
        <v>0.50041434685240749</v>
      </c>
      <c r="G710" s="306">
        <f t="shared" ca="1" si="330"/>
        <v>1.511627612841185</v>
      </c>
      <c r="H710" s="307">
        <f t="shared" ca="1" si="331"/>
        <v>-105.61930669154809</v>
      </c>
      <c r="I710" s="304">
        <f t="shared" ca="1" si="332"/>
        <v>105.63012337417389</v>
      </c>
      <c r="J710" s="306">
        <f t="shared" ca="1" si="333"/>
        <v>809.6451793302748</v>
      </c>
      <c r="K710" s="307">
        <f t="shared" ca="1" si="334"/>
        <v>-6.3473685822459007</v>
      </c>
      <c r="L710" s="304">
        <f t="shared" ca="1" si="319"/>
        <v>809.67005965434578</v>
      </c>
      <c r="M710" s="306">
        <f t="shared" ca="1" si="335"/>
        <v>-1.5564852650985777</v>
      </c>
      <c r="N710" s="304">
        <f t="shared" ca="1" si="336"/>
        <v>-89.180036564449594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1.7842999999999964</v>
      </c>
      <c r="T710" s="304">
        <f t="shared" ca="1" si="320"/>
        <v>17.503982999999966</v>
      </c>
      <c r="U710" s="311">
        <f t="shared" ca="1" si="321"/>
        <v>0</v>
      </c>
      <c r="V710" s="306">
        <f t="shared" ca="1" si="322"/>
        <v>1.2257777995003309</v>
      </c>
      <c r="W710" s="304">
        <f t="shared" ca="1" si="323"/>
        <v>18.359225264766593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-0.48031835325529926</v>
      </c>
      <c r="AH710" s="304">
        <f t="shared" ca="1" si="347"/>
        <v>-10.289313775924134</v>
      </c>
    </row>
    <row r="711" spans="1:34" x14ac:dyDescent="0.2">
      <c r="A711" s="347">
        <f t="shared" ca="1" si="325"/>
        <v>1E-4</v>
      </c>
      <c r="B711" s="304">
        <f t="shared" ca="1" si="326"/>
        <v>58.005400000000719</v>
      </c>
      <c r="D711" s="306">
        <f t="shared" ca="1" si="327"/>
        <v>-0.14724599959439899</v>
      </c>
      <c r="E711" s="307">
        <f t="shared" ca="1" si="328"/>
        <v>0.47826164470066246</v>
      </c>
      <c r="F711" s="304">
        <f t="shared" ca="1" si="329"/>
        <v>0.500415412620691</v>
      </c>
      <c r="G711" s="306">
        <f t="shared" ca="1" si="330"/>
        <v>1.5116128882412254</v>
      </c>
      <c r="H711" s="307">
        <f t="shared" ca="1" si="331"/>
        <v>-105.61925886538361</v>
      </c>
      <c r="I711" s="304">
        <f t="shared" ca="1" si="332"/>
        <v>105.63007534219037</v>
      </c>
      <c r="J711" s="306">
        <f t="shared" ca="1" si="333"/>
        <v>809.6451793302748</v>
      </c>
      <c r="K711" s="307">
        <f t="shared" ca="1" si="334"/>
        <v>-6.3579305105237474</v>
      </c>
      <c r="L711" s="304">
        <f t="shared" ca="1" si="319"/>
        <v>809.67014252294712</v>
      </c>
      <c r="M711" s="306">
        <f t="shared" ca="1" si="335"/>
        <v>-1.5564853980026987</v>
      </c>
      <c r="N711" s="304">
        <f t="shared" ca="1" si="336"/>
        <v>-89.180044179294811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1.7842999999999964</v>
      </c>
      <c r="T711" s="304">
        <f t="shared" ca="1" si="320"/>
        <v>17.503982999999966</v>
      </c>
      <c r="U711" s="311">
        <f t="shared" ca="1" si="321"/>
        <v>0</v>
      </c>
      <c r="V711" s="306">
        <f t="shared" ca="1" si="322"/>
        <v>1.2257790941588653</v>
      </c>
      <c r="W711" s="304">
        <f t="shared" ca="1" si="323"/>
        <v>18.359227959083977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-0.48031984464874355</v>
      </c>
      <c r="AH711" s="304">
        <f t="shared" ca="1" si="347"/>
        <v>-10.289315285975805</v>
      </c>
    </row>
    <row r="712" spans="1:34" x14ac:dyDescent="0.2">
      <c r="A712" s="347">
        <f t="shared" ca="1" si="325"/>
        <v>1E-4</v>
      </c>
      <c r="B712" s="304">
        <f t="shared" ca="1" si="326"/>
        <v>58.005500000000723</v>
      </c>
      <c r="D712" s="306">
        <f t="shared" ca="1" si="327"/>
        <v>-0.14724465385098717</v>
      </c>
      <c r="E712" s="307">
        <f t="shared" ca="1" si="328"/>
        <v>0.47826317412921426</v>
      </c>
      <c r="F712" s="304">
        <f t="shared" ca="1" si="329"/>
        <v>0.50041647836162251</v>
      </c>
      <c r="G712" s="306">
        <f t="shared" ca="1" si="330"/>
        <v>1.5115981637758402</v>
      </c>
      <c r="H712" s="307">
        <f t="shared" ca="1" si="331"/>
        <v>-105.6192110390662</v>
      </c>
      <c r="I712" s="304">
        <f t="shared" ca="1" si="332"/>
        <v>105.6300273100577</v>
      </c>
      <c r="J712" s="306">
        <f t="shared" ca="1" si="333"/>
        <v>809.6451793302748</v>
      </c>
      <c r="K712" s="307">
        <f t="shared" ca="1" si="334"/>
        <v>-6.3684924340189699</v>
      </c>
      <c r="L712" s="304">
        <f t="shared" ca="1" si="319"/>
        <v>809.67022552927995</v>
      </c>
      <c r="M712" s="306">
        <f t="shared" ca="1" si="335"/>
        <v>-1.5564855309056458</v>
      </c>
      <c r="N712" s="304">
        <f t="shared" ca="1" si="336"/>
        <v>-89.180051794072767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1.7842999999999964</v>
      </c>
      <c r="T712" s="304">
        <f t="shared" ca="1" si="320"/>
        <v>17.503982999999966</v>
      </c>
      <c r="U712" s="311">
        <f t="shared" ca="1" si="321"/>
        <v>0</v>
      </c>
      <c r="V712" s="306">
        <f t="shared" ca="1" si="322"/>
        <v>1.2257803888181817</v>
      </c>
      <c r="W712" s="304">
        <f t="shared" ca="1" si="323"/>
        <v>18.359230653333558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-0.48032133600452376</v>
      </c>
      <c r="AH712" s="304">
        <f t="shared" ca="1" si="347"/>
        <v>-10.289316795989471</v>
      </c>
    </row>
    <row r="713" spans="1:34" x14ac:dyDescent="0.2">
      <c r="A713" s="347">
        <f t="shared" ca="1" si="325"/>
        <v>1E-4</v>
      </c>
      <c r="B713" s="304">
        <f t="shared" ca="1" si="326"/>
        <v>58.005600000000726</v>
      </c>
      <c r="D713" s="306">
        <f t="shared" ca="1" si="327"/>
        <v>-0.14724330811870556</v>
      </c>
      <c r="E713" s="307">
        <f t="shared" ca="1" si="328"/>
        <v>0.47826470351941985</v>
      </c>
      <c r="F713" s="304">
        <f t="shared" ca="1" si="329"/>
        <v>0.50041754407520389</v>
      </c>
      <c r="G713" s="306">
        <f t="shared" ca="1" si="330"/>
        <v>1.5115834394450283</v>
      </c>
      <c r="H713" s="307">
        <f t="shared" ca="1" si="331"/>
        <v>-105.61916321259585</v>
      </c>
      <c r="I713" s="304">
        <f t="shared" ca="1" si="332"/>
        <v>105.62997927777589</v>
      </c>
      <c r="J713" s="306">
        <f t="shared" ca="1" si="333"/>
        <v>809.6451793302748</v>
      </c>
      <c r="K713" s="307">
        <f t="shared" ca="1" si="334"/>
        <v>-6.3790543527315533</v>
      </c>
      <c r="L713" s="304">
        <f t="shared" ca="1" si="319"/>
        <v>809.67030867334381</v>
      </c>
      <c r="M713" s="306">
        <f t="shared" ca="1" si="335"/>
        <v>-1.5564856638074194</v>
      </c>
      <c r="N713" s="304">
        <f t="shared" ca="1" si="336"/>
        <v>-89.180059408783478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1.7842999999999964</v>
      </c>
      <c r="T713" s="304">
        <f t="shared" ca="1" si="320"/>
        <v>17.503982999999966</v>
      </c>
      <c r="U713" s="311">
        <f t="shared" ca="1" si="321"/>
        <v>0</v>
      </c>
      <c r="V713" s="306">
        <f t="shared" ca="1" si="322"/>
        <v>1.2257816834782795</v>
      </c>
      <c r="W713" s="304">
        <f t="shared" ca="1" si="323"/>
        <v>18.359233347515325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-0.48032282732263987</v>
      </c>
      <c r="AH713" s="304">
        <f t="shared" ca="1" si="347"/>
        <v>-10.289318305965137</v>
      </c>
    </row>
    <row r="714" spans="1:34" x14ac:dyDescent="0.2">
      <c r="A714" s="347">
        <f t="shared" ca="1" si="325"/>
        <v>1E-4</v>
      </c>
      <c r="B714" s="304">
        <f t="shared" ca="1" si="326"/>
        <v>58.005700000000729</v>
      </c>
      <c r="D714" s="306">
        <f t="shared" ca="1" si="327"/>
        <v>-0.1472419623975495</v>
      </c>
      <c r="E714" s="307">
        <f t="shared" ca="1" si="328"/>
        <v>0.4782662328712739</v>
      </c>
      <c r="F714" s="304">
        <f t="shared" ca="1" si="329"/>
        <v>0.5004186097614286</v>
      </c>
      <c r="G714" s="306">
        <f t="shared" ca="1" si="330"/>
        <v>1.5115687152487884</v>
      </c>
      <c r="H714" s="307">
        <f t="shared" ca="1" si="331"/>
        <v>-105.61911538597256</v>
      </c>
      <c r="I714" s="304">
        <f t="shared" ca="1" si="332"/>
        <v>105.62993124534496</v>
      </c>
      <c r="J714" s="306">
        <f t="shared" ca="1" si="333"/>
        <v>809.6451793302748</v>
      </c>
      <c r="K714" s="307">
        <f t="shared" ca="1" si="334"/>
        <v>-6.3896162666614815</v>
      </c>
      <c r="L714" s="304">
        <f t="shared" ca="1" si="319"/>
        <v>809.67039195513871</v>
      </c>
      <c r="M714" s="306">
        <f t="shared" ca="1" si="335"/>
        <v>-1.5564857967080192</v>
      </c>
      <c r="N714" s="304">
        <f t="shared" ca="1" si="336"/>
        <v>-89.180067023426943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1.7842999999999964</v>
      </c>
      <c r="T714" s="304">
        <f t="shared" ca="1" si="320"/>
        <v>17.503982999999966</v>
      </c>
      <c r="U714" s="311">
        <f t="shared" ca="1" si="321"/>
        <v>0</v>
      </c>
      <c r="V714" s="306">
        <f t="shared" ca="1" si="322"/>
        <v>1.2257829781391587</v>
      </c>
      <c r="W714" s="304">
        <f t="shared" ca="1" si="323"/>
        <v>18.359236041629281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 t="e">
        <f t="shared" ca="1" si="344"/>
        <v>#N/A</v>
      </c>
      <c r="AD714" s="323" t="e">
        <f t="shared" ca="1" si="345"/>
        <v>#N/A</v>
      </c>
      <c r="AE714" s="324" t="e">
        <f t="shared" ca="1" si="324"/>
        <v>#N/A</v>
      </c>
      <c r="AG714" s="306">
        <f t="shared" ca="1" si="346"/>
        <v>-0.48032431860308655</v>
      </c>
      <c r="AH714" s="304">
        <f t="shared" ca="1" si="347"/>
        <v>-10.289319815902797</v>
      </c>
    </row>
    <row r="715" spans="1:34" x14ac:dyDescent="0.2">
      <c r="A715" s="347">
        <f t="shared" ca="1" si="325"/>
        <v>1E-4</v>
      </c>
      <c r="B715" s="304">
        <f t="shared" ca="1" si="326"/>
        <v>58.005800000000733</v>
      </c>
      <c r="D715" s="306">
        <f t="shared" ca="1" si="327"/>
        <v>-0.14724061668752128</v>
      </c>
      <c r="E715" s="307">
        <f t="shared" ca="1" si="328"/>
        <v>0.47826776218477995</v>
      </c>
      <c r="F715" s="304">
        <f t="shared" ca="1" si="329"/>
        <v>0.50041967542030041</v>
      </c>
      <c r="G715" s="306">
        <f t="shared" ca="1" si="330"/>
        <v>1.5115539911871196</v>
      </c>
      <c r="H715" s="307">
        <f t="shared" ca="1" si="331"/>
        <v>-105.61906755919634</v>
      </c>
      <c r="I715" s="304">
        <f t="shared" ca="1" si="332"/>
        <v>105.62988321276491</v>
      </c>
      <c r="J715" s="306">
        <f t="shared" ca="1" si="333"/>
        <v>809.6451793302748</v>
      </c>
      <c r="K715" s="307">
        <f t="shared" ca="1" si="334"/>
        <v>-6.4001781758087404</v>
      </c>
      <c r="L715" s="304">
        <f t="shared" ca="1" si="319"/>
        <v>809.67047537466431</v>
      </c>
      <c r="M715" s="306">
        <f t="shared" ca="1" si="335"/>
        <v>-1.5564859296074451</v>
      </c>
      <c r="N715" s="304">
        <f t="shared" ca="1" si="336"/>
        <v>-89.180074638003148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1.7842999999999964</v>
      </c>
      <c r="T715" s="304">
        <f t="shared" ca="1" si="320"/>
        <v>17.503982999999966</v>
      </c>
      <c r="U715" s="311">
        <f t="shared" ca="1" si="321"/>
        <v>0</v>
      </c>
      <c r="V715" s="306">
        <f t="shared" ca="1" si="322"/>
        <v>1.2257842728008197</v>
      </c>
      <c r="W715" s="304">
        <f t="shared" ca="1" si="323"/>
        <v>18.359238735675429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-0.48032580984587092</v>
      </c>
      <c r="AH715" s="304">
        <f t="shared" ca="1" si="347"/>
        <v>-10.289321325802453</v>
      </c>
    </row>
    <row r="716" spans="1:34" x14ac:dyDescent="0.2">
      <c r="A716" s="347">
        <f t="shared" ca="1" si="325"/>
        <v>1E-4</v>
      </c>
      <c r="B716" s="304">
        <f t="shared" ca="1" si="326"/>
        <v>58.005900000000736</v>
      </c>
      <c r="D716" s="306">
        <f t="shared" ca="1" si="327"/>
        <v>-0.14723927098862333</v>
      </c>
      <c r="E716" s="307">
        <f t="shared" ca="1" si="328"/>
        <v>0.47826929145993802</v>
      </c>
      <c r="F716" s="304">
        <f t="shared" ca="1" si="329"/>
        <v>0.50042074105181966</v>
      </c>
      <c r="G716" s="306">
        <f t="shared" ca="1" si="330"/>
        <v>1.5115392672600207</v>
      </c>
      <c r="H716" s="307">
        <f t="shared" ca="1" si="331"/>
        <v>-105.61901973226719</v>
      </c>
      <c r="I716" s="304">
        <f t="shared" ca="1" si="332"/>
        <v>105.62983518003574</v>
      </c>
      <c r="J716" s="306">
        <f t="shared" ca="1" si="333"/>
        <v>809.6451793302748</v>
      </c>
      <c r="K716" s="307">
        <f t="shared" ca="1" si="334"/>
        <v>-6.4107400801733139</v>
      </c>
      <c r="L716" s="304">
        <f t="shared" ca="1" si="319"/>
        <v>809.67055893192037</v>
      </c>
      <c r="M716" s="306">
        <f t="shared" ca="1" si="335"/>
        <v>-1.5564860625056975</v>
      </c>
      <c r="N716" s="304">
        <f t="shared" ca="1" si="336"/>
        <v>-89.180082252512122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1.7842999999999964</v>
      </c>
      <c r="T716" s="304">
        <f t="shared" ca="1" si="320"/>
        <v>17.503982999999966</v>
      </c>
      <c r="U716" s="311">
        <f t="shared" ca="1" si="321"/>
        <v>0</v>
      </c>
      <c r="V716" s="306">
        <f t="shared" ca="1" si="322"/>
        <v>1.2257855674632623</v>
      </c>
      <c r="W716" s="304">
        <f t="shared" ca="1" si="323"/>
        <v>18.359241429653771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-0.4803273010509912</v>
      </c>
      <c r="AH716" s="304">
        <f t="shared" ca="1" si="347"/>
        <v>-10.289322835664107</v>
      </c>
    </row>
    <row r="717" spans="1:34" x14ac:dyDescent="0.2">
      <c r="A717" s="347">
        <f t="shared" ca="1" si="325"/>
        <v>1E-4</v>
      </c>
      <c r="B717" s="304">
        <f t="shared" ca="1" si="326"/>
        <v>58.006000000000739</v>
      </c>
      <c r="D717" s="306">
        <f t="shared" ca="1" si="327"/>
        <v>-0.147237925300851</v>
      </c>
      <c r="E717" s="307">
        <f t="shared" ca="1" si="328"/>
        <v>0.47827082069674987</v>
      </c>
      <c r="F717" s="304">
        <f t="shared" ca="1" si="329"/>
        <v>0.50042180665598657</v>
      </c>
      <c r="G717" s="306">
        <f t="shared" ca="1" si="330"/>
        <v>1.5115245434674907</v>
      </c>
      <c r="H717" s="307">
        <f t="shared" ca="1" si="331"/>
        <v>-105.61897190518512</v>
      </c>
      <c r="I717" s="304">
        <f t="shared" ca="1" si="332"/>
        <v>105.62978714715746</v>
      </c>
      <c r="J717" s="306">
        <f t="shared" ca="1" si="333"/>
        <v>809.6451793302748</v>
      </c>
      <c r="K717" s="307">
        <f t="shared" ca="1" si="334"/>
        <v>-6.4213019797551869</v>
      </c>
      <c r="L717" s="304">
        <f t="shared" ca="1" si="319"/>
        <v>809.67064262690667</v>
      </c>
      <c r="M717" s="306">
        <f t="shared" ca="1" si="335"/>
        <v>-1.5564861954027762</v>
      </c>
      <c r="N717" s="304">
        <f t="shared" ca="1" si="336"/>
        <v>-89.180089866953836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1.7842999999999964</v>
      </c>
      <c r="T717" s="304">
        <f t="shared" ca="1" si="320"/>
        <v>17.503982999999966</v>
      </c>
      <c r="U717" s="311">
        <f t="shared" ca="1" si="321"/>
        <v>0</v>
      </c>
      <c r="V717" s="306">
        <f t="shared" ca="1" si="322"/>
        <v>1.2257868621264865</v>
      </c>
      <c r="W717" s="304">
        <f t="shared" ca="1" si="323"/>
        <v>18.359244123564309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-0.48032879221844205</v>
      </c>
      <c r="AH717" s="304">
        <f t="shared" ca="1" si="347"/>
        <v>-10.289324345487758</v>
      </c>
    </row>
    <row r="718" spans="1:34" x14ac:dyDescent="0.2">
      <c r="A718" s="347">
        <f t="shared" ca="1" si="325"/>
        <v>1E-4</v>
      </c>
      <c r="B718" s="304">
        <f t="shared" ca="1" si="326"/>
        <v>58.006100000000743</v>
      </c>
      <c r="D718" s="306">
        <f t="shared" ca="1" si="327"/>
        <v>-0.14723657962420669</v>
      </c>
      <c r="E718" s="307">
        <f t="shared" ca="1" si="328"/>
        <v>0.47827234989521727</v>
      </c>
      <c r="F718" s="304">
        <f t="shared" ca="1" si="329"/>
        <v>0.50042287223280324</v>
      </c>
      <c r="G718" s="306">
        <f t="shared" ca="1" si="330"/>
        <v>1.5115098198095283</v>
      </c>
      <c r="H718" s="307">
        <f t="shared" ca="1" si="331"/>
        <v>-105.61892407795013</v>
      </c>
      <c r="I718" s="304">
        <f t="shared" ca="1" si="332"/>
        <v>105.62973911413005</v>
      </c>
      <c r="J718" s="306">
        <f t="shared" ca="1" si="333"/>
        <v>809.6451793302748</v>
      </c>
      <c r="K718" s="307">
        <f t="shared" ca="1" si="334"/>
        <v>-6.4318638745543435</v>
      </c>
      <c r="L718" s="304">
        <f t="shared" ca="1" si="319"/>
        <v>809.67072645962298</v>
      </c>
      <c r="M718" s="306">
        <f t="shared" ca="1" si="335"/>
        <v>-1.5564863282986814</v>
      </c>
      <c r="N718" s="304">
        <f t="shared" ca="1" si="336"/>
        <v>-89.180097481328318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1.7842999999999964</v>
      </c>
      <c r="T718" s="304">
        <f t="shared" ca="1" si="320"/>
        <v>17.503982999999966</v>
      </c>
      <c r="U718" s="311">
        <f t="shared" ca="1" si="321"/>
        <v>0</v>
      </c>
      <c r="V718" s="306">
        <f t="shared" ca="1" si="322"/>
        <v>1.2257881567904922</v>
      </c>
      <c r="W718" s="304">
        <f t="shared" ca="1" si="323"/>
        <v>18.359246817407033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-0.48033028334823769</v>
      </c>
      <c r="AH718" s="304">
        <f t="shared" ca="1" si="347"/>
        <v>-10.289325855273411</v>
      </c>
    </row>
    <row r="719" spans="1:34" x14ac:dyDescent="0.2">
      <c r="A719" s="347">
        <f t="shared" ca="1" si="325"/>
        <v>1E-4</v>
      </c>
      <c r="B719" s="304">
        <f t="shared" ca="1" si="326"/>
        <v>58.006200000000746</v>
      </c>
      <c r="D719" s="306">
        <f t="shared" ca="1" si="327"/>
        <v>-0.14723523395868801</v>
      </c>
      <c r="E719" s="307">
        <f t="shared" ca="1" si="328"/>
        <v>0.47827387905533314</v>
      </c>
      <c r="F719" s="304">
        <f t="shared" ca="1" si="329"/>
        <v>0.5004239377822618</v>
      </c>
      <c r="G719" s="306">
        <f t="shared" ca="1" si="330"/>
        <v>1.5114950962861324</v>
      </c>
      <c r="H719" s="307">
        <f t="shared" ca="1" si="331"/>
        <v>-105.61887625056222</v>
      </c>
      <c r="I719" s="304">
        <f t="shared" ca="1" si="332"/>
        <v>105.62969108095353</v>
      </c>
      <c r="J719" s="306">
        <f t="shared" ca="1" si="333"/>
        <v>809.6451793302748</v>
      </c>
      <c r="K719" s="307">
        <f t="shared" ca="1" si="334"/>
        <v>-6.4424257645707694</v>
      </c>
      <c r="L719" s="304">
        <f t="shared" ca="1" si="319"/>
        <v>809.67081043006908</v>
      </c>
      <c r="M719" s="306">
        <f t="shared" ca="1" si="335"/>
        <v>-1.5564864611934126</v>
      </c>
      <c r="N719" s="304">
        <f t="shared" ca="1" si="336"/>
        <v>-89.18010509563554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1.7842999999999964</v>
      </c>
      <c r="T719" s="304">
        <f t="shared" ca="1" si="320"/>
        <v>17.503982999999966</v>
      </c>
      <c r="U719" s="311">
        <f t="shared" ca="1" si="321"/>
        <v>0</v>
      </c>
      <c r="V719" s="306">
        <f t="shared" ca="1" si="322"/>
        <v>1.2257894514552796</v>
      </c>
      <c r="W719" s="304">
        <f t="shared" ca="1" si="323"/>
        <v>18.359249511181957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-0.48033177444035857</v>
      </c>
      <c r="AH719" s="304">
        <f t="shared" ca="1" si="347"/>
        <v>-10.289327365021055</v>
      </c>
    </row>
    <row r="720" spans="1:34" x14ac:dyDescent="0.2">
      <c r="A720" s="347">
        <f t="shared" ca="1" si="325"/>
        <v>1E-4</v>
      </c>
      <c r="B720" s="304">
        <f t="shared" ca="1" si="326"/>
        <v>58.006300000000749</v>
      </c>
      <c r="D720" s="306">
        <f t="shared" ca="1" si="327"/>
        <v>-0.14723388830429968</v>
      </c>
      <c r="E720" s="307">
        <f t="shared" ca="1" si="328"/>
        <v>0.47827540817710457</v>
      </c>
      <c r="F720" s="304">
        <f t="shared" ca="1" si="329"/>
        <v>0.50042500330437023</v>
      </c>
      <c r="G720" s="306">
        <f t="shared" ca="1" si="330"/>
        <v>1.5114803728973021</v>
      </c>
      <c r="H720" s="307">
        <f t="shared" ca="1" si="331"/>
        <v>-105.61882842302141</v>
      </c>
      <c r="I720" s="304">
        <f t="shared" ca="1" si="332"/>
        <v>105.62964304762792</v>
      </c>
      <c r="J720" s="306">
        <f t="shared" ca="1" si="333"/>
        <v>809.6451793302748</v>
      </c>
      <c r="K720" s="307">
        <f t="shared" ca="1" si="334"/>
        <v>-6.4529876498044487</v>
      </c>
      <c r="L720" s="304">
        <f t="shared" ca="1" si="319"/>
        <v>809.67089453824462</v>
      </c>
      <c r="M720" s="306">
        <f t="shared" ca="1" si="335"/>
        <v>-1.5564865940869703</v>
      </c>
      <c r="N720" s="304">
        <f t="shared" ca="1" si="336"/>
        <v>-89.180112709875516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1.7842999999999964</v>
      </c>
      <c r="T720" s="304">
        <f t="shared" ca="1" si="320"/>
        <v>17.503982999999966</v>
      </c>
      <c r="U720" s="311">
        <f t="shared" ca="1" si="321"/>
        <v>0</v>
      </c>
      <c r="V720" s="306">
        <f t="shared" ca="1" si="322"/>
        <v>1.2257907461208488</v>
      </c>
      <c r="W720" s="304">
        <f t="shared" ca="1" si="323"/>
        <v>18.359252204889088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-0.48033326549482425</v>
      </c>
      <c r="AH720" s="304">
        <f t="shared" ca="1" si="347"/>
        <v>-10.289328874730703</v>
      </c>
    </row>
    <row r="721" spans="1:34" x14ac:dyDescent="0.2">
      <c r="A721" s="347">
        <f t="shared" ca="1" si="325"/>
        <v>1E-4</v>
      </c>
      <c r="B721" s="304">
        <f t="shared" ca="1" si="326"/>
        <v>58.006400000000752</v>
      </c>
      <c r="D721" s="306">
        <f t="shared" ca="1" si="327"/>
        <v>-0.14723254266103725</v>
      </c>
      <c r="E721" s="307">
        <f t="shared" ca="1" si="328"/>
        <v>0.47827693726053866</v>
      </c>
      <c r="F721" s="304">
        <f t="shared" ca="1" si="329"/>
        <v>0.50042606879913376</v>
      </c>
      <c r="G721" s="306">
        <f t="shared" ca="1" si="330"/>
        <v>1.5114656496430359</v>
      </c>
      <c r="H721" s="307">
        <f t="shared" ca="1" si="331"/>
        <v>-105.61878059532769</v>
      </c>
      <c r="I721" s="304">
        <f t="shared" ca="1" si="332"/>
        <v>105.62959501415321</v>
      </c>
      <c r="J721" s="306">
        <f t="shared" ca="1" si="333"/>
        <v>809.6451793302748</v>
      </c>
      <c r="K721" s="307">
        <f t="shared" ca="1" si="334"/>
        <v>-6.4635495302553663</v>
      </c>
      <c r="L721" s="304">
        <f t="shared" ca="1" si="319"/>
        <v>809.67097878414961</v>
      </c>
      <c r="M721" s="306">
        <f t="shared" ca="1" si="335"/>
        <v>-1.5564867269793543</v>
      </c>
      <c r="N721" s="304">
        <f t="shared" ca="1" si="336"/>
        <v>-89.180120324048247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1.7842999999999964</v>
      </c>
      <c r="T721" s="304">
        <f t="shared" ca="1" si="320"/>
        <v>17.503982999999966</v>
      </c>
      <c r="U721" s="311">
        <f t="shared" ca="1" si="321"/>
        <v>0</v>
      </c>
      <c r="V721" s="306">
        <f t="shared" ca="1" si="322"/>
        <v>1.2257920407871989</v>
      </c>
      <c r="W721" s="304">
        <f t="shared" ca="1" si="323"/>
        <v>18.359254898528405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-0.48033475651163293</v>
      </c>
      <c r="AH721" s="304">
        <f t="shared" ca="1" si="347"/>
        <v>-10.289330384402357</v>
      </c>
    </row>
    <row r="722" spans="1:34" x14ac:dyDescent="0.2">
      <c r="A722" s="347">
        <f t="shared" ca="1" si="325"/>
        <v>1E-4</v>
      </c>
      <c r="B722" s="304">
        <f t="shared" ca="1" si="326"/>
        <v>58.006500000000756</v>
      </c>
      <c r="D722" s="306">
        <f t="shared" ca="1" si="327"/>
        <v>-0.14723119702890275</v>
      </c>
      <c r="E722" s="307">
        <f t="shared" ca="1" si="328"/>
        <v>0.47827846630562121</v>
      </c>
      <c r="F722" s="304">
        <f t="shared" ca="1" si="329"/>
        <v>0.50042713426653918</v>
      </c>
      <c r="G722" s="306">
        <f t="shared" ca="1" si="330"/>
        <v>1.5114509265233329</v>
      </c>
      <c r="H722" s="307">
        <f t="shared" ca="1" si="331"/>
        <v>-105.61873276748106</v>
      </c>
      <c r="I722" s="304">
        <f t="shared" ca="1" si="332"/>
        <v>105.62954698052938</v>
      </c>
      <c r="J722" s="306">
        <f t="shared" ca="1" si="333"/>
        <v>809.6451793302748</v>
      </c>
      <c r="K722" s="307">
        <f t="shared" ca="1" si="334"/>
        <v>-6.474111405923507</v>
      </c>
      <c r="L722" s="304">
        <f t="shared" ca="1" si="319"/>
        <v>809.6710631677837</v>
      </c>
      <c r="M722" s="306">
        <f t="shared" ca="1" si="335"/>
        <v>-1.5564868598705648</v>
      </c>
      <c r="N722" s="304">
        <f t="shared" ca="1" si="336"/>
        <v>-89.180127938153746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1.7842999999999964</v>
      </c>
      <c r="T722" s="304">
        <f t="shared" ca="1" si="320"/>
        <v>17.503982999999966</v>
      </c>
      <c r="U722" s="311">
        <f t="shared" ca="1" si="321"/>
        <v>0</v>
      </c>
      <c r="V722" s="306">
        <f t="shared" ca="1" si="322"/>
        <v>1.2257933354543318</v>
      </c>
      <c r="W722" s="304">
        <f t="shared" ca="1" si="323"/>
        <v>18.359257592099929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-0.48033624749077219</v>
      </c>
      <c r="AH722" s="304">
        <f t="shared" ca="1" si="347"/>
        <v>-10.289331894036003</v>
      </c>
    </row>
    <row r="723" spans="1:34" x14ac:dyDescent="0.2">
      <c r="A723" s="347">
        <f t="shared" ca="1" si="325"/>
        <v>1E-4</v>
      </c>
      <c r="B723" s="304">
        <f t="shared" ca="1" si="326"/>
        <v>58.006600000000759</v>
      </c>
      <c r="D723" s="306">
        <f t="shared" ca="1" si="327"/>
        <v>-0.14722985140789421</v>
      </c>
      <c r="E723" s="307">
        <f t="shared" ca="1" si="328"/>
        <v>0.47827999531236642</v>
      </c>
      <c r="F723" s="304">
        <f t="shared" ca="1" si="329"/>
        <v>0.50042819970659913</v>
      </c>
      <c r="G723" s="306">
        <f t="shared" ca="1" si="330"/>
        <v>1.5114362035381921</v>
      </c>
      <c r="H723" s="307">
        <f t="shared" ca="1" si="331"/>
        <v>-105.61868493948153</v>
      </c>
      <c r="I723" s="304">
        <f t="shared" ca="1" si="332"/>
        <v>105.62949894675648</v>
      </c>
      <c r="J723" s="306">
        <f t="shared" ca="1" si="333"/>
        <v>809.6451793302748</v>
      </c>
      <c r="K723" s="307">
        <f t="shared" ca="1" si="334"/>
        <v>-6.4846732768088549</v>
      </c>
      <c r="L723" s="304">
        <f t="shared" ca="1" si="319"/>
        <v>809.67114768914655</v>
      </c>
      <c r="M723" s="306">
        <f t="shared" ca="1" si="335"/>
        <v>-1.5564869927606015</v>
      </c>
      <c r="N723" s="304">
        <f t="shared" ca="1" si="336"/>
        <v>-89.180135552191985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1.7842999999999964</v>
      </c>
      <c r="T723" s="304">
        <f t="shared" ca="1" si="320"/>
        <v>17.503982999999966</v>
      </c>
      <c r="U723" s="311">
        <f t="shared" ca="1" si="321"/>
        <v>0</v>
      </c>
      <c r="V723" s="306">
        <f t="shared" ca="1" si="322"/>
        <v>1.2257946301222451</v>
      </c>
      <c r="W723" s="304">
        <f t="shared" ca="1" si="323"/>
        <v>18.359260285603646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-0.48033773843225624</v>
      </c>
      <c r="AH723" s="304">
        <f t="shared" ca="1" si="347"/>
        <v>-10.289333403631657</v>
      </c>
    </row>
    <row r="724" spans="1:34" x14ac:dyDescent="0.2">
      <c r="A724" s="347">
        <f t="shared" ca="1" si="325"/>
        <v>1E-4</v>
      </c>
      <c r="B724" s="304">
        <f t="shared" ca="1" si="326"/>
        <v>58.006700000000762</v>
      </c>
      <c r="D724" s="306">
        <f t="shared" ca="1" si="327"/>
        <v>-0.14722850579801375</v>
      </c>
      <c r="E724" s="307">
        <f t="shared" ca="1" si="328"/>
        <v>0.47828152428076365</v>
      </c>
      <c r="F724" s="304">
        <f t="shared" ca="1" si="329"/>
        <v>0.50042926511930386</v>
      </c>
      <c r="G724" s="306">
        <f t="shared" ca="1" si="330"/>
        <v>1.5114214806876123</v>
      </c>
      <c r="H724" s="307">
        <f t="shared" ca="1" si="331"/>
        <v>-105.61863711132909</v>
      </c>
      <c r="I724" s="304">
        <f t="shared" ca="1" si="332"/>
        <v>105.62945091283447</v>
      </c>
      <c r="J724" s="306">
        <f t="shared" ca="1" si="333"/>
        <v>809.6451793302748</v>
      </c>
      <c r="K724" s="307">
        <f t="shared" ca="1" si="334"/>
        <v>-6.4952351429113957</v>
      </c>
      <c r="L724" s="304">
        <f t="shared" ca="1" si="319"/>
        <v>809.67123234823805</v>
      </c>
      <c r="M724" s="306">
        <f t="shared" ca="1" si="335"/>
        <v>-1.5564871256494648</v>
      </c>
      <c r="N724" s="304">
        <f t="shared" ca="1" si="336"/>
        <v>-89.180143166162992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1.7842999999999964</v>
      </c>
      <c r="T724" s="304">
        <f t="shared" ca="1" si="320"/>
        <v>17.503982999999966</v>
      </c>
      <c r="U724" s="311">
        <f t="shared" ca="1" si="321"/>
        <v>0</v>
      </c>
      <c r="V724" s="306">
        <f t="shared" ca="1" si="322"/>
        <v>1.2257959247909407</v>
      </c>
      <c r="W724" s="304">
        <f t="shared" ca="1" si="323"/>
        <v>18.35926297903957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 t="e">
        <f t="shared" ca="1" si="344"/>
        <v>#N/A</v>
      </c>
      <c r="AD724" s="323" t="e">
        <f t="shared" ca="1" si="345"/>
        <v>#N/A</v>
      </c>
      <c r="AE724" s="324" t="e">
        <f t="shared" ca="1" si="324"/>
        <v>#N/A</v>
      </c>
      <c r="AG724" s="306">
        <f t="shared" ca="1" si="346"/>
        <v>-0.4803392293360762</v>
      </c>
      <c r="AH724" s="304">
        <f t="shared" ca="1" si="347"/>
        <v>-10.289334913189309</v>
      </c>
    </row>
    <row r="725" spans="1:34" x14ac:dyDescent="0.2">
      <c r="A725" s="347">
        <f t="shared" ca="1" si="325"/>
        <v>1E-4</v>
      </c>
      <c r="B725" s="304">
        <f t="shared" ca="1" si="326"/>
        <v>58.006800000000766</v>
      </c>
      <c r="D725" s="306">
        <f t="shared" ca="1" si="327"/>
        <v>-0.14722716019925922</v>
      </c>
      <c r="E725" s="307">
        <f t="shared" ca="1" si="328"/>
        <v>0.47828305321082176</v>
      </c>
      <c r="F725" s="304">
        <f t="shared" ca="1" si="329"/>
        <v>0.5004303305046609</v>
      </c>
      <c r="G725" s="306">
        <f t="shared" ca="1" si="330"/>
        <v>1.5114067579715924</v>
      </c>
      <c r="H725" s="307">
        <f t="shared" ca="1" si="331"/>
        <v>-105.61858928302377</v>
      </c>
      <c r="I725" s="304">
        <f t="shared" ca="1" si="332"/>
        <v>105.62940287876337</v>
      </c>
      <c r="J725" s="306">
        <f t="shared" ca="1" si="333"/>
        <v>809.6451793302748</v>
      </c>
      <c r="K725" s="307">
        <f t="shared" ca="1" si="334"/>
        <v>-6.5057970042311135</v>
      </c>
      <c r="L725" s="304">
        <f t="shared" ca="1" si="319"/>
        <v>809.67131714505797</v>
      </c>
      <c r="M725" s="306">
        <f t="shared" ca="1" si="335"/>
        <v>-1.5564872585371543</v>
      </c>
      <c r="N725" s="304">
        <f t="shared" ca="1" si="336"/>
        <v>-89.180150780066754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1.7842999999999964</v>
      </c>
      <c r="T725" s="304">
        <f t="shared" ca="1" si="320"/>
        <v>17.503982999999966</v>
      </c>
      <c r="U725" s="311">
        <f t="shared" ca="1" si="321"/>
        <v>0</v>
      </c>
      <c r="V725" s="306">
        <f t="shared" ca="1" si="322"/>
        <v>1.2257972194604174</v>
      </c>
      <c r="W725" s="304">
        <f t="shared" ca="1" si="323"/>
        <v>18.359265672407687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-0.48034072020223917</v>
      </c>
      <c r="AH725" s="304">
        <f t="shared" ca="1" si="347"/>
        <v>-10.289336422708965</v>
      </c>
    </row>
    <row r="726" spans="1:34" x14ac:dyDescent="0.2">
      <c r="A726" s="347">
        <f t="shared" ca="1" si="325"/>
        <v>1E-4</v>
      </c>
      <c r="B726" s="304">
        <f t="shared" ca="1" si="326"/>
        <v>58.006900000000769</v>
      </c>
      <c r="D726" s="306">
        <f t="shared" ca="1" si="327"/>
        <v>-0.14722581461163284</v>
      </c>
      <c r="E726" s="307">
        <f t="shared" ca="1" si="328"/>
        <v>0.47828458210253366</v>
      </c>
      <c r="F726" s="304">
        <f t="shared" ca="1" si="329"/>
        <v>0.50043139586266383</v>
      </c>
      <c r="G726" s="306">
        <f t="shared" ca="1" si="330"/>
        <v>1.5113920353901313</v>
      </c>
      <c r="H726" s="307">
        <f t="shared" ca="1" si="331"/>
        <v>-105.61854145456556</v>
      </c>
      <c r="I726" s="304">
        <f t="shared" ca="1" si="332"/>
        <v>105.62935484454322</v>
      </c>
      <c r="J726" s="306">
        <f t="shared" ca="1" si="333"/>
        <v>809.6451793302748</v>
      </c>
      <c r="K726" s="307">
        <f t="shared" ca="1" si="334"/>
        <v>-6.5163588607679932</v>
      </c>
      <c r="L726" s="304">
        <f t="shared" ca="1" si="319"/>
        <v>809.67140207960608</v>
      </c>
      <c r="M726" s="306">
        <f t="shared" ca="1" si="335"/>
        <v>-1.5564873914236701</v>
      </c>
      <c r="N726" s="304">
        <f t="shared" ca="1" si="336"/>
        <v>-89.18015839390327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1.7842999999999964</v>
      </c>
      <c r="T726" s="304">
        <f t="shared" ca="1" si="320"/>
        <v>17.503982999999966</v>
      </c>
      <c r="U726" s="311">
        <f t="shared" ca="1" si="321"/>
        <v>0</v>
      </c>
      <c r="V726" s="306">
        <f t="shared" ca="1" si="322"/>
        <v>1.2257985141306758</v>
      </c>
      <c r="W726" s="304">
        <f t="shared" ca="1" si="323"/>
        <v>18.359268365708019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-0.48034221103073982</v>
      </c>
      <c r="AH726" s="304">
        <f t="shared" ca="1" si="347"/>
        <v>-10.289337932190621</v>
      </c>
    </row>
    <row r="727" spans="1:34" x14ac:dyDescent="0.2">
      <c r="A727" s="347">
        <f t="shared" ca="1" si="325"/>
        <v>1E-4</v>
      </c>
      <c r="B727" s="304">
        <f t="shared" ca="1" si="326"/>
        <v>58.007000000000772</v>
      </c>
      <c r="D727" s="306">
        <f t="shared" ca="1" si="327"/>
        <v>-0.14722446903513475</v>
      </c>
      <c r="E727" s="307">
        <f t="shared" ca="1" si="328"/>
        <v>0.47828611095590823</v>
      </c>
      <c r="F727" s="304">
        <f t="shared" ca="1" si="329"/>
        <v>0.50043246119332097</v>
      </c>
      <c r="G727" s="306">
        <f t="shared" ca="1" si="330"/>
        <v>1.5113773129432277</v>
      </c>
      <c r="H727" s="307">
        <f t="shared" ca="1" si="331"/>
        <v>-105.61849362595446</v>
      </c>
      <c r="I727" s="304">
        <f t="shared" ca="1" si="332"/>
        <v>105.62930681017396</v>
      </c>
      <c r="J727" s="306">
        <f t="shared" ca="1" si="333"/>
        <v>809.6451793302748</v>
      </c>
      <c r="K727" s="307">
        <f t="shared" ca="1" si="334"/>
        <v>-6.5269207125220188</v>
      </c>
      <c r="L727" s="304">
        <f t="shared" ca="1" si="319"/>
        <v>809.67148715188216</v>
      </c>
      <c r="M727" s="306">
        <f t="shared" ca="1" si="335"/>
        <v>-1.5564875243090126</v>
      </c>
      <c r="N727" s="304">
        <f t="shared" ca="1" si="336"/>
        <v>-89.180166007672554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1.7842999999999964</v>
      </c>
      <c r="T727" s="304">
        <f t="shared" ca="1" si="320"/>
        <v>17.503982999999966</v>
      </c>
      <c r="U727" s="311">
        <f t="shared" ca="1" si="321"/>
        <v>0</v>
      </c>
      <c r="V727" s="306">
        <f t="shared" ca="1" si="322"/>
        <v>1.2257998088017155</v>
      </c>
      <c r="W727" s="304">
        <f t="shared" ca="1" si="323"/>
        <v>18.359271058940546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-0.48034370182158703</v>
      </c>
      <c r="AH727" s="304">
        <f t="shared" ca="1" si="347"/>
        <v>-10.289339441634285</v>
      </c>
    </row>
    <row r="728" spans="1:34" x14ac:dyDescent="0.2">
      <c r="A728" s="347">
        <f t="shared" ca="1" si="325"/>
        <v>1E-4</v>
      </c>
      <c r="B728" s="304">
        <f t="shared" ca="1" si="326"/>
        <v>58.007100000000776</v>
      </c>
      <c r="D728" s="306">
        <f t="shared" ca="1" si="327"/>
        <v>-0.14722312346976035</v>
      </c>
      <c r="E728" s="307">
        <f t="shared" ca="1" si="328"/>
        <v>0.47828763977094013</v>
      </c>
      <c r="F728" s="304">
        <f t="shared" ca="1" si="329"/>
        <v>0.50043352649662554</v>
      </c>
      <c r="G728" s="306">
        <f t="shared" ca="1" si="330"/>
        <v>1.5113625906308807</v>
      </c>
      <c r="H728" s="307">
        <f t="shared" ca="1" si="331"/>
        <v>-105.61844579719047</v>
      </c>
      <c r="I728" s="304">
        <f t="shared" ca="1" si="332"/>
        <v>105.62925877565563</v>
      </c>
      <c r="J728" s="306">
        <f t="shared" ca="1" si="333"/>
        <v>809.6451793302748</v>
      </c>
      <c r="K728" s="307">
        <f t="shared" ca="1" si="334"/>
        <v>-6.537482559493176</v>
      </c>
      <c r="L728" s="304">
        <f t="shared" ca="1" si="319"/>
        <v>809.67157236188586</v>
      </c>
      <c r="M728" s="306">
        <f t="shared" ca="1" si="335"/>
        <v>-1.5564876571931814</v>
      </c>
      <c r="N728" s="304">
        <f t="shared" ca="1" si="336"/>
        <v>-89.180173621374578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1.7842999999999964</v>
      </c>
      <c r="T728" s="304">
        <f t="shared" ca="1" si="320"/>
        <v>17.503982999999966</v>
      </c>
      <c r="U728" s="311">
        <f t="shared" ca="1" si="321"/>
        <v>0</v>
      </c>
      <c r="V728" s="306">
        <f t="shared" ca="1" si="322"/>
        <v>1.2258011034735372</v>
      </c>
      <c r="W728" s="304">
        <f t="shared" ca="1" si="323"/>
        <v>18.359273752105292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-0.48034519257477193</v>
      </c>
      <c r="AH728" s="304">
        <f t="shared" ca="1" si="347"/>
        <v>-10.28934095103995</v>
      </c>
    </row>
    <row r="729" spans="1:34" x14ac:dyDescent="0.2">
      <c r="A729" s="347">
        <f t="shared" ca="1" si="325"/>
        <v>1E-4</v>
      </c>
      <c r="B729" s="304">
        <f t="shared" ca="1" si="326"/>
        <v>58.007200000000779</v>
      </c>
      <c r="D729" s="306">
        <f t="shared" ca="1" si="327"/>
        <v>-0.1472217779155143</v>
      </c>
      <c r="E729" s="307">
        <f t="shared" ca="1" si="328"/>
        <v>0.47828916854763825</v>
      </c>
      <c r="F729" s="304">
        <f t="shared" ca="1" si="329"/>
        <v>0.50043459177258731</v>
      </c>
      <c r="G729" s="306">
        <f t="shared" ca="1" si="330"/>
        <v>1.5113478684530892</v>
      </c>
      <c r="H729" s="307">
        <f t="shared" ca="1" si="331"/>
        <v>-105.61839796827363</v>
      </c>
      <c r="I729" s="304">
        <f t="shared" ca="1" si="332"/>
        <v>105.62921074098823</v>
      </c>
      <c r="J729" s="306">
        <f t="shared" ca="1" si="333"/>
        <v>809.6451793302748</v>
      </c>
      <c r="K729" s="307">
        <f t="shared" ca="1" si="334"/>
        <v>-6.548044401681449</v>
      </c>
      <c r="L729" s="304">
        <f t="shared" ca="1" si="319"/>
        <v>809.67165770961708</v>
      </c>
      <c r="M729" s="306">
        <f t="shared" ca="1" si="335"/>
        <v>-1.5564877900761767</v>
      </c>
      <c r="N729" s="304">
        <f t="shared" ca="1" si="336"/>
        <v>-89.180181235009385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1.7842999999999964</v>
      </c>
      <c r="T729" s="304">
        <f t="shared" ca="1" si="320"/>
        <v>17.503982999999966</v>
      </c>
      <c r="U729" s="311">
        <f t="shared" ca="1" si="321"/>
        <v>0</v>
      </c>
      <c r="V729" s="306">
        <f t="shared" ca="1" si="322"/>
        <v>1.2258023981461406</v>
      </c>
      <c r="W729" s="304">
        <f t="shared" ca="1" si="323"/>
        <v>18.359276445202241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-0.48034668329030517</v>
      </c>
      <c r="AH729" s="304">
        <f t="shared" ca="1" si="347"/>
        <v>-10.289342460407626</v>
      </c>
    </row>
    <row r="730" spans="1:34" x14ac:dyDescent="0.2">
      <c r="A730" s="347">
        <f t="shared" ca="1" si="325"/>
        <v>1E-4</v>
      </c>
      <c r="B730" s="304">
        <f t="shared" ca="1" si="326"/>
        <v>58.007300000000782</v>
      </c>
      <c r="D730" s="306">
        <f t="shared" ca="1" si="327"/>
        <v>-0.14722043237239429</v>
      </c>
      <c r="E730" s="307">
        <f t="shared" ca="1" si="328"/>
        <v>0.47829069728599549</v>
      </c>
      <c r="F730" s="304">
        <f t="shared" ca="1" si="329"/>
        <v>0.50043565702119841</v>
      </c>
      <c r="G730" s="306">
        <f t="shared" ca="1" si="330"/>
        <v>1.5113331464098521</v>
      </c>
      <c r="H730" s="307">
        <f t="shared" ca="1" si="331"/>
        <v>-105.6183501392039</v>
      </c>
      <c r="I730" s="304">
        <f t="shared" ca="1" si="332"/>
        <v>105.62916270617177</v>
      </c>
      <c r="J730" s="306">
        <f t="shared" ca="1" si="333"/>
        <v>809.6451793302748</v>
      </c>
      <c r="K730" s="307">
        <f t="shared" ca="1" si="334"/>
        <v>-6.5586062390868225</v>
      </c>
      <c r="L730" s="304">
        <f t="shared" ca="1" si="319"/>
        <v>809.67174319507546</v>
      </c>
      <c r="M730" s="306">
        <f t="shared" ca="1" si="335"/>
        <v>-1.5564879229579982</v>
      </c>
      <c r="N730" s="304">
        <f t="shared" ca="1" si="336"/>
        <v>-89.180188848576933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1.7842999999999964</v>
      </c>
      <c r="T730" s="304">
        <f t="shared" ca="1" si="320"/>
        <v>17.503982999999966</v>
      </c>
      <c r="U730" s="311">
        <f t="shared" ca="1" si="321"/>
        <v>0</v>
      </c>
      <c r="V730" s="306">
        <f t="shared" ca="1" si="322"/>
        <v>1.2258036928195253</v>
      </c>
      <c r="W730" s="304">
        <f t="shared" ca="1" si="323"/>
        <v>18.359279138231397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-0.48034817396818497</v>
      </c>
      <c r="AH730" s="304">
        <f t="shared" ca="1" si="347"/>
        <v>-10.289343969737308</v>
      </c>
    </row>
    <row r="731" spans="1:34" x14ac:dyDescent="0.2">
      <c r="A731" s="347">
        <f t="shared" ca="1" si="325"/>
        <v>1E-4</v>
      </c>
      <c r="B731" s="304">
        <f t="shared" ca="1" si="326"/>
        <v>58.007400000000786</v>
      </c>
      <c r="D731" s="306">
        <f t="shared" ca="1" si="327"/>
        <v>-0.14721908684040261</v>
      </c>
      <c r="E731" s="307">
        <f t="shared" ca="1" si="328"/>
        <v>0.47829222598601362</v>
      </c>
      <c r="F731" s="304">
        <f t="shared" ca="1" si="329"/>
        <v>0.50043672224246083</v>
      </c>
      <c r="G731" s="306">
        <f t="shared" ca="1" si="330"/>
        <v>1.5113184245011679</v>
      </c>
      <c r="H731" s="307">
        <f t="shared" ca="1" si="331"/>
        <v>-105.6183023099813</v>
      </c>
      <c r="I731" s="304">
        <f t="shared" ca="1" si="332"/>
        <v>105.62911467120624</v>
      </c>
      <c r="J731" s="306">
        <f t="shared" ca="1" si="333"/>
        <v>809.6451793302748</v>
      </c>
      <c r="K731" s="307">
        <f t="shared" ca="1" si="334"/>
        <v>-6.5691680717092815</v>
      </c>
      <c r="L731" s="304">
        <f t="shared" ca="1" si="319"/>
        <v>809.67182881826091</v>
      </c>
      <c r="M731" s="306">
        <f t="shared" ca="1" si="335"/>
        <v>-1.5564880558386465</v>
      </c>
      <c r="N731" s="304">
        <f t="shared" ca="1" si="336"/>
        <v>-89.180196462077248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1.7842999999999964</v>
      </c>
      <c r="T731" s="304">
        <f t="shared" ca="1" si="320"/>
        <v>17.503982999999966</v>
      </c>
      <c r="U731" s="311">
        <f t="shared" ca="1" si="321"/>
        <v>0</v>
      </c>
      <c r="V731" s="306">
        <f t="shared" ca="1" si="322"/>
        <v>1.2258049874936916</v>
      </c>
      <c r="W731" s="304">
        <f t="shared" ca="1" si="323"/>
        <v>18.359281831192764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-0.48034966460840423</v>
      </c>
      <c r="AH731" s="304">
        <f t="shared" ca="1" si="347"/>
        <v>-10.289345479028993</v>
      </c>
    </row>
    <row r="732" spans="1:34" x14ac:dyDescent="0.2">
      <c r="A732" s="347">
        <f t="shared" ca="1" si="325"/>
        <v>1E-4</v>
      </c>
      <c r="B732" s="304">
        <f t="shared" ca="1" si="326"/>
        <v>58.007500000000789</v>
      </c>
      <c r="D732" s="306">
        <f t="shared" ca="1" si="327"/>
        <v>-0.14721774131953477</v>
      </c>
      <c r="E732" s="307">
        <f t="shared" ca="1" si="328"/>
        <v>0.47829375464769619</v>
      </c>
      <c r="F732" s="304">
        <f t="shared" ca="1" si="329"/>
        <v>0.50043778743637657</v>
      </c>
      <c r="G732" s="306">
        <f t="shared" ca="1" si="330"/>
        <v>1.511303702727036</v>
      </c>
      <c r="H732" s="307">
        <f t="shared" ca="1" si="331"/>
        <v>-105.61825448060584</v>
      </c>
      <c r="I732" s="304">
        <f t="shared" ca="1" si="332"/>
        <v>105.62906663609166</v>
      </c>
      <c r="J732" s="306">
        <f t="shared" ca="1" si="333"/>
        <v>809.6451793302748</v>
      </c>
      <c r="K732" s="307">
        <f t="shared" ca="1" si="334"/>
        <v>-6.5797298995488109</v>
      </c>
      <c r="L732" s="304">
        <f t="shared" ca="1" si="319"/>
        <v>809.67191457917318</v>
      </c>
      <c r="M732" s="306">
        <f t="shared" ca="1" si="335"/>
        <v>-1.556488188718121</v>
      </c>
      <c r="N732" s="304">
        <f t="shared" ca="1" si="336"/>
        <v>-89.180204075510332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1.7842999999999964</v>
      </c>
      <c r="T732" s="304">
        <f t="shared" ca="1" si="320"/>
        <v>17.503982999999966</v>
      </c>
      <c r="U732" s="311">
        <f t="shared" ca="1" si="321"/>
        <v>0</v>
      </c>
      <c r="V732" s="306">
        <f t="shared" ca="1" si="322"/>
        <v>1.2258062821686395</v>
      </c>
      <c r="W732" s="304">
        <f t="shared" ca="1" si="323"/>
        <v>18.359284524086348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-0.48035115521097183</v>
      </c>
      <c r="AH732" s="304">
        <f t="shared" ca="1" si="347"/>
        <v>-10.289346988282688</v>
      </c>
    </row>
    <row r="733" spans="1:34" x14ac:dyDescent="0.2">
      <c r="A733" s="347">
        <f t="shared" ca="1" si="325"/>
        <v>1E-4</v>
      </c>
      <c r="B733" s="304">
        <f t="shared" ca="1" si="326"/>
        <v>58.007600000000792</v>
      </c>
      <c r="D733" s="306">
        <f t="shared" ca="1" si="327"/>
        <v>-0.14721639580979543</v>
      </c>
      <c r="E733" s="307">
        <f t="shared" ca="1" si="328"/>
        <v>0.47829528327104498</v>
      </c>
      <c r="F733" s="304">
        <f t="shared" ca="1" si="329"/>
        <v>0.5004388526029484</v>
      </c>
      <c r="G733" s="306">
        <f t="shared" ca="1" si="330"/>
        <v>1.511288981087455</v>
      </c>
      <c r="H733" s="307">
        <f t="shared" ca="1" si="331"/>
        <v>-105.61820665107751</v>
      </c>
      <c r="I733" s="304">
        <f t="shared" ca="1" si="332"/>
        <v>105.629018600828</v>
      </c>
      <c r="J733" s="306">
        <f t="shared" ca="1" si="333"/>
        <v>809.6451793302748</v>
      </c>
      <c r="K733" s="307">
        <f t="shared" ca="1" si="334"/>
        <v>-6.5902917226053948</v>
      </c>
      <c r="L733" s="304">
        <f t="shared" ca="1" si="319"/>
        <v>809.67200047781193</v>
      </c>
      <c r="M733" s="306">
        <f t="shared" ca="1" si="335"/>
        <v>-1.556488321596422</v>
      </c>
      <c r="N733" s="304">
        <f t="shared" ca="1" si="336"/>
        <v>-89.18021168887617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1.7842999999999964</v>
      </c>
      <c r="T733" s="304">
        <f t="shared" ca="1" si="320"/>
        <v>17.503982999999966</v>
      </c>
      <c r="U733" s="311">
        <f t="shared" ca="1" si="321"/>
        <v>0</v>
      </c>
      <c r="V733" s="306">
        <f t="shared" ca="1" si="322"/>
        <v>1.2258075768443688</v>
      </c>
      <c r="W733" s="304">
        <f t="shared" ca="1" si="323"/>
        <v>18.359287216912136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-0.48035264577588777</v>
      </c>
      <c r="AH733" s="304">
        <f t="shared" ca="1" si="347"/>
        <v>-10.289348497498395</v>
      </c>
    </row>
    <row r="734" spans="1:34" x14ac:dyDescent="0.2">
      <c r="A734" s="347">
        <f t="shared" ca="1" si="325"/>
        <v>1E-4</v>
      </c>
      <c r="B734" s="304">
        <f t="shared" ca="1" si="326"/>
        <v>58.007700000000796</v>
      </c>
      <c r="D734" s="306">
        <f t="shared" ca="1" si="327"/>
        <v>-0.14721505031118215</v>
      </c>
      <c r="E734" s="307">
        <f t="shared" ca="1" si="328"/>
        <v>0.47829681185605111</v>
      </c>
      <c r="F734" s="304">
        <f t="shared" ca="1" si="329"/>
        <v>0.50043991774216678</v>
      </c>
      <c r="G734" s="306">
        <f t="shared" ca="1" si="330"/>
        <v>1.511274259582424</v>
      </c>
      <c r="H734" s="307">
        <f t="shared" ca="1" si="331"/>
        <v>-105.61815882139634</v>
      </c>
      <c r="I734" s="304">
        <f t="shared" ca="1" si="332"/>
        <v>105.62897056541533</v>
      </c>
      <c r="J734" s="306">
        <f t="shared" ca="1" si="333"/>
        <v>809.6451793302748</v>
      </c>
      <c r="K734" s="307">
        <f t="shared" ca="1" si="334"/>
        <v>-6.6008535408790188</v>
      </c>
      <c r="L734" s="304">
        <f t="shared" ca="1" si="319"/>
        <v>809.67208651417707</v>
      </c>
      <c r="M734" s="306">
        <f t="shared" ca="1" si="335"/>
        <v>-1.5564884544735496</v>
      </c>
      <c r="N734" s="304">
        <f t="shared" ca="1" si="336"/>
        <v>-89.180219302174763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1.7842999999999964</v>
      </c>
      <c r="T734" s="304">
        <f t="shared" ca="1" si="320"/>
        <v>17.503982999999966</v>
      </c>
      <c r="U734" s="311">
        <f t="shared" ca="1" si="321"/>
        <v>0</v>
      </c>
      <c r="V734" s="306">
        <f t="shared" ca="1" si="322"/>
        <v>1.2258088715208801</v>
      </c>
      <c r="W734" s="304">
        <f t="shared" ca="1" si="323"/>
        <v>18.359289909670153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 t="e">
        <f t="shared" ca="1" si="344"/>
        <v>#N/A</v>
      </c>
      <c r="AD734" s="323" t="e">
        <f t="shared" ca="1" si="345"/>
        <v>#N/A</v>
      </c>
      <c r="AE734" s="324" t="e">
        <f t="shared" ca="1" si="324"/>
        <v>#N/A</v>
      </c>
      <c r="AG734" s="306">
        <f t="shared" ca="1" si="346"/>
        <v>-0.48035413630314494</v>
      </c>
      <c r="AH734" s="304">
        <f t="shared" ca="1" si="347"/>
        <v>-10.289350006676104</v>
      </c>
    </row>
    <row r="735" spans="1:34" x14ac:dyDescent="0.2">
      <c r="A735" s="347">
        <f t="shared" ca="1" si="325"/>
        <v>1E-4</v>
      </c>
      <c r="B735" s="304">
        <f t="shared" ca="1" si="326"/>
        <v>58.007800000000799</v>
      </c>
      <c r="D735" s="306">
        <f t="shared" ca="1" si="327"/>
        <v>-0.14721370482369525</v>
      </c>
      <c r="E735" s="307">
        <f t="shared" ca="1" si="328"/>
        <v>0.47829834040273411</v>
      </c>
      <c r="F735" s="304">
        <f t="shared" ca="1" si="329"/>
        <v>0.50044098285405025</v>
      </c>
      <c r="G735" s="306">
        <f t="shared" ca="1" si="330"/>
        <v>1.5112595382119416</v>
      </c>
      <c r="H735" s="307">
        <f t="shared" ca="1" si="331"/>
        <v>-105.61811099156229</v>
      </c>
      <c r="I735" s="304">
        <f t="shared" ca="1" si="332"/>
        <v>105.62892252985357</v>
      </c>
      <c r="J735" s="306">
        <f t="shared" ca="1" si="333"/>
        <v>809.6451793302748</v>
      </c>
      <c r="K735" s="307">
        <f t="shared" ca="1" si="334"/>
        <v>-6.611415354369667</v>
      </c>
      <c r="L735" s="304">
        <f t="shared" ca="1" si="319"/>
        <v>809.67217268826823</v>
      </c>
      <c r="M735" s="306">
        <f t="shared" ca="1" si="335"/>
        <v>-1.5564885873495036</v>
      </c>
      <c r="N735" s="304">
        <f t="shared" ca="1" si="336"/>
        <v>-89.180226915406138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1.7842999999999964</v>
      </c>
      <c r="T735" s="304">
        <f t="shared" ca="1" si="320"/>
        <v>17.503982999999966</v>
      </c>
      <c r="U735" s="311">
        <f t="shared" ca="1" si="321"/>
        <v>0</v>
      </c>
      <c r="V735" s="306">
        <f t="shared" ca="1" si="322"/>
        <v>1.2258101661981728</v>
      </c>
      <c r="W735" s="304">
        <f t="shared" ca="1" si="323"/>
        <v>18.35929260236037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-0.48035562679275756</v>
      </c>
      <c r="AH735" s="304">
        <f t="shared" ca="1" si="347"/>
        <v>-10.289351515815833</v>
      </c>
    </row>
    <row r="736" spans="1:34" x14ac:dyDescent="0.2">
      <c r="A736" s="347">
        <f t="shared" ca="1" si="325"/>
        <v>1E-4</v>
      </c>
      <c r="B736" s="304">
        <f t="shared" ca="1" si="326"/>
        <v>58.007900000000802</v>
      </c>
      <c r="D736" s="306">
        <f t="shared" ca="1" si="327"/>
        <v>-0.1472123593473344</v>
      </c>
      <c r="E736" s="307">
        <f t="shared" ca="1" si="328"/>
        <v>0.4782998689110709</v>
      </c>
      <c r="F736" s="304">
        <f t="shared" ca="1" si="329"/>
        <v>0.50044204793857638</v>
      </c>
      <c r="G736" s="306">
        <f t="shared" ca="1" si="330"/>
        <v>1.5112448169760069</v>
      </c>
      <c r="H736" s="307">
        <f t="shared" ca="1" si="331"/>
        <v>-105.61806316157539</v>
      </c>
      <c r="I736" s="304">
        <f t="shared" ca="1" si="332"/>
        <v>105.62887449414278</v>
      </c>
      <c r="J736" s="306">
        <f t="shared" ca="1" si="333"/>
        <v>809.6451793302748</v>
      </c>
      <c r="K736" s="307">
        <f t="shared" ca="1" si="334"/>
        <v>-6.6219771630773243</v>
      </c>
      <c r="L736" s="304">
        <f t="shared" ca="1" si="319"/>
        <v>809.67225900008521</v>
      </c>
      <c r="M736" s="306">
        <f t="shared" ca="1" si="335"/>
        <v>-1.5564887202242841</v>
      </c>
      <c r="N736" s="304">
        <f t="shared" ca="1" si="336"/>
        <v>-89.180234528570253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1.7842999999999964</v>
      </c>
      <c r="T736" s="304">
        <f t="shared" ca="1" si="320"/>
        <v>17.503982999999966</v>
      </c>
      <c r="U736" s="311">
        <f t="shared" ca="1" si="321"/>
        <v>0</v>
      </c>
      <c r="V736" s="306">
        <f t="shared" ca="1" si="322"/>
        <v>1.2258114608762469</v>
      </c>
      <c r="W736" s="304">
        <f t="shared" ca="1" si="323"/>
        <v>18.3592952949828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-0.48035711724471142</v>
      </c>
      <c r="AH736" s="304">
        <f t="shared" ca="1" si="347"/>
        <v>-10.289353024917562</v>
      </c>
    </row>
    <row r="737" spans="1:34" x14ac:dyDescent="0.2">
      <c r="A737" s="347">
        <f t="shared" ca="1" si="325"/>
        <v>1E-4</v>
      </c>
      <c r="B737" s="304">
        <f t="shared" ca="1" si="326"/>
        <v>58.008000000000806</v>
      </c>
      <c r="D737" s="306">
        <f t="shared" ca="1" si="327"/>
        <v>-0.14721101388209981</v>
      </c>
      <c r="E737" s="307">
        <f t="shared" ca="1" si="328"/>
        <v>0.47830139738107391</v>
      </c>
      <c r="F737" s="304">
        <f t="shared" ca="1" si="329"/>
        <v>0.50044311299575683</v>
      </c>
      <c r="G737" s="306">
        <f t="shared" ca="1" si="330"/>
        <v>1.5112300958746188</v>
      </c>
      <c r="H737" s="307">
        <f t="shared" ca="1" si="331"/>
        <v>-105.61801533143566</v>
      </c>
      <c r="I737" s="304">
        <f t="shared" ca="1" si="332"/>
        <v>105.62882645828294</v>
      </c>
      <c r="J737" s="306">
        <f t="shared" ca="1" si="333"/>
        <v>809.6451793302748</v>
      </c>
      <c r="K737" s="307">
        <f t="shared" ca="1" si="334"/>
        <v>-6.6325389670019748</v>
      </c>
      <c r="L737" s="304">
        <f t="shared" ca="1" si="319"/>
        <v>809.67234544962798</v>
      </c>
      <c r="M737" s="306">
        <f t="shared" ca="1" si="335"/>
        <v>-1.5564888530978911</v>
      </c>
      <c r="N737" s="304">
        <f t="shared" ca="1" si="336"/>
        <v>-89.180242141667151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1.7842999999999964</v>
      </c>
      <c r="T737" s="304">
        <f t="shared" ca="1" si="320"/>
        <v>17.503982999999966</v>
      </c>
      <c r="U737" s="311">
        <f t="shared" ca="1" si="321"/>
        <v>0</v>
      </c>
      <c r="V737" s="306">
        <f t="shared" ca="1" si="322"/>
        <v>1.2258127555551024</v>
      </c>
      <c r="W737" s="304">
        <f t="shared" ca="1" si="323"/>
        <v>18.359297987537449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-0.48035860765901361</v>
      </c>
      <c r="AH737" s="304">
        <f t="shared" ca="1" si="347"/>
        <v>-10.289354533981301</v>
      </c>
    </row>
    <row r="738" spans="1:34" x14ac:dyDescent="0.2">
      <c r="A738" s="347">
        <f t="shared" ca="1" si="325"/>
        <v>1E-4</v>
      </c>
      <c r="B738" s="304">
        <f t="shared" ca="1" si="326"/>
        <v>58.008100000000809</v>
      </c>
      <c r="D738" s="306">
        <f t="shared" ca="1" si="327"/>
        <v>-0.14720966842799155</v>
      </c>
      <c r="E738" s="307">
        <f t="shared" ca="1" si="328"/>
        <v>0.47830292581274492</v>
      </c>
      <c r="F738" s="304">
        <f t="shared" ca="1" si="329"/>
        <v>0.50044417802559293</v>
      </c>
      <c r="G738" s="306">
        <f t="shared" ca="1" si="330"/>
        <v>1.5112153749077759</v>
      </c>
      <c r="H738" s="307">
        <f t="shared" ca="1" si="331"/>
        <v>-105.61796750114307</v>
      </c>
      <c r="I738" s="304">
        <f t="shared" ca="1" si="332"/>
        <v>105.62877842227407</v>
      </c>
      <c r="J738" s="306">
        <f t="shared" ca="1" si="333"/>
        <v>809.6451793302748</v>
      </c>
      <c r="K738" s="307">
        <f t="shared" ca="1" si="334"/>
        <v>-6.6431007661436041</v>
      </c>
      <c r="L738" s="304">
        <f t="shared" ca="1" si="319"/>
        <v>809.672432036896</v>
      </c>
      <c r="M738" s="306">
        <f t="shared" ca="1" si="335"/>
        <v>-1.5564889859703248</v>
      </c>
      <c r="N738" s="304">
        <f t="shared" ca="1" si="336"/>
        <v>-89.180249754696817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1.7842999999999964</v>
      </c>
      <c r="T738" s="304">
        <f t="shared" ca="1" si="320"/>
        <v>17.503982999999966</v>
      </c>
      <c r="U738" s="311">
        <f t="shared" ca="1" si="321"/>
        <v>0</v>
      </c>
      <c r="V738" s="306">
        <f t="shared" ca="1" si="322"/>
        <v>1.2258140502347397</v>
      </c>
      <c r="W738" s="304">
        <f t="shared" ca="1" si="323"/>
        <v>18.359300680024319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-0.48036009803566593</v>
      </c>
      <c r="AH738" s="304">
        <f t="shared" ca="1" si="347"/>
        <v>-10.289356043007054</v>
      </c>
    </row>
    <row r="739" spans="1:34" x14ac:dyDescent="0.2">
      <c r="A739" s="347">
        <f t="shared" ca="1" si="325"/>
        <v>1E-4</v>
      </c>
      <c r="B739" s="304">
        <f t="shared" ca="1" si="326"/>
        <v>58.008200000000812</v>
      </c>
      <c r="D739" s="306">
        <f t="shared" ca="1" si="327"/>
        <v>-0.14720832298500733</v>
      </c>
      <c r="E739" s="307">
        <f t="shared" ca="1" si="328"/>
        <v>0.47830445420608392</v>
      </c>
      <c r="F739" s="304">
        <f t="shared" ca="1" si="329"/>
        <v>0.50044524302808402</v>
      </c>
      <c r="G739" s="306">
        <f t="shared" ca="1" si="330"/>
        <v>1.5112006540754774</v>
      </c>
      <c r="H739" s="307">
        <f t="shared" ca="1" si="331"/>
        <v>-105.61791967069765</v>
      </c>
      <c r="I739" s="304">
        <f t="shared" ca="1" si="332"/>
        <v>105.62873038611615</v>
      </c>
      <c r="J739" s="306">
        <f t="shared" ca="1" si="333"/>
        <v>809.6451793302748</v>
      </c>
      <c r="K739" s="307">
        <f t="shared" ca="1" si="334"/>
        <v>-6.6536625605021964</v>
      </c>
      <c r="L739" s="304">
        <f t="shared" ca="1" si="319"/>
        <v>809.67251876188925</v>
      </c>
      <c r="M739" s="306">
        <f t="shared" ca="1" si="335"/>
        <v>-1.5564891188415848</v>
      </c>
      <c r="N739" s="304">
        <f t="shared" ca="1" si="336"/>
        <v>-89.180257367659237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1.7842999999999964</v>
      </c>
      <c r="T739" s="304">
        <f t="shared" ca="1" si="320"/>
        <v>17.503982999999966</v>
      </c>
      <c r="U739" s="311">
        <f t="shared" ca="1" si="321"/>
        <v>0</v>
      </c>
      <c r="V739" s="306">
        <f t="shared" ca="1" si="322"/>
        <v>1.2258153449151581</v>
      </c>
      <c r="W739" s="304">
        <f t="shared" ca="1" si="323"/>
        <v>18.359303372443399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-0.48036158837466836</v>
      </c>
      <c r="AH739" s="304">
        <f t="shared" ca="1" si="347"/>
        <v>-10.289357551994819</v>
      </c>
    </row>
    <row r="740" spans="1:34" x14ac:dyDescent="0.2">
      <c r="A740" s="347">
        <f t="shared" ca="1" si="325"/>
        <v>1E-4</v>
      </c>
      <c r="B740" s="304">
        <f t="shared" ca="1" si="326"/>
        <v>58.008300000000816</v>
      </c>
      <c r="D740" s="306">
        <f t="shared" ca="1" si="327"/>
        <v>-0.14720697755315165</v>
      </c>
      <c r="E740" s="307">
        <f t="shared" ca="1" si="328"/>
        <v>0.47830598256108736</v>
      </c>
      <c r="F740" s="304">
        <f t="shared" ca="1" si="329"/>
        <v>0.50044630800322754</v>
      </c>
      <c r="G740" s="306">
        <f t="shared" ca="1" si="330"/>
        <v>1.5111859333777222</v>
      </c>
      <c r="H740" s="307">
        <f t="shared" ca="1" si="331"/>
        <v>-105.61787184009938</v>
      </c>
      <c r="I740" s="304">
        <f t="shared" ca="1" si="332"/>
        <v>105.62868234980922</v>
      </c>
      <c r="J740" s="306">
        <f t="shared" ca="1" si="333"/>
        <v>809.6451793302748</v>
      </c>
      <c r="K740" s="307">
        <f t="shared" ca="1" si="334"/>
        <v>-6.6642243500777365</v>
      </c>
      <c r="L740" s="304">
        <f t="shared" ca="1" si="319"/>
        <v>809.6726056246074</v>
      </c>
      <c r="M740" s="306">
        <f t="shared" ca="1" si="335"/>
        <v>-1.5564892517116715</v>
      </c>
      <c r="N740" s="304">
        <f t="shared" ca="1" si="336"/>
        <v>-89.180264980554426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1.7842999999999964</v>
      </c>
      <c r="T740" s="304">
        <f t="shared" ca="1" si="320"/>
        <v>17.503982999999966</v>
      </c>
      <c r="U740" s="311">
        <f t="shared" ca="1" si="321"/>
        <v>0</v>
      </c>
      <c r="V740" s="306">
        <f t="shared" ca="1" si="322"/>
        <v>1.2258166395963588</v>
      </c>
      <c r="W740" s="304">
        <f t="shared" ca="1" si="323"/>
        <v>18.359306064794723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-0.48036307867601735</v>
      </c>
      <c r="AH740" s="304">
        <f t="shared" ca="1" si="347"/>
        <v>-10.289359060944593</v>
      </c>
    </row>
    <row r="741" spans="1:34" x14ac:dyDescent="0.2">
      <c r="A741" s="347">
        <f t="shared" ca="1" si="325"/>
        <v>1E-4</v>
      </c>
      <c r="B741" s="304">
        <f t="shared" ca="1" si="326"/>
        <v>58.008400000000819</v>
      </c>
      <c r="D741" s="306">
        <f t="shared" ca="1" si="327"/>
        <v>-0.14720563213242027</v>
      </c>
      <c r="E741" s="307">
        <f t="shared" ca="1" si="328"/>
        <v>0.47830751087776946</v>
      </c>
      <c r="F741" s="304">
        <f t="shared" ca="1" si="329"/>
        <v>0.5004473729510357</v>
      </c>
      <c r="G741" s="306">
        <f t="shared" ca="1" si="330"/>
        <v>1.5111712128145089</v>
      </c>
      <c r="H741" s="307">
        <f t="shared" ca="1" si="331"/>
        <v>-105.6178240093483</v>
      </c>
      <c r="I741" s="304">
        <f t="shared" ca="1" si="332"/>
        <v>105.62863431335325</v>
      </c>
      <c r="J741" s="306">
        <f t="shared" ca="1" si="333"/>
        <v>809.6451793302748</v>
      </c>
      <c r="K741" s="307">
        <f t="shared" ca="1" si="334"/>
        <v>-6.6747861348702084</v>
      </c>
      <c r="L741" s="304">
        <f t="shared" ca="1" si="319"/>
        <v>809.67269262505022</v>
      </c>
      <c r="M741" s="306">
        <f t="shared" ca="1" si="335"/>
        <v>-1.5564893845805847</v>
      </c>
      <c r="N741" s="304">
        <f t="shared" ca="1" si="336"/>
        <v>-89.180272593382384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1.7842999999999964</v>
      </c>
      <c r="T741" s="304">
        <f t="shared" ca="1" si="320"/>
        <v>17.503982999999966</v>
      </c>
      <c r="U741" s="311">
        <f t="shared" ca="1" si="321"/>
        <v>0</v>
      </c>
      <c r="V741" s="306">
        <f t="shared" ca="1" si="322"/>
        <v>1.2258179342783406</v>
      </c>
      <c r="W741" s="304">
        <f t="shared" ca="1" si="323"/>
        <v>18.359308757078246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-0.4803645689397289</v>
      </c>
      <c r="AH741" s="304">
        <f t="shared" ca="1" si="347"/>
        <v>-10.289360569856392</v>
      </c>
    </row>
    <row r="742" spans="1:34" x14ac:dyDescent="0.2">
      <c r="A742" s="347">
        <f t="shared" ca="1" si="325"/>
        <v>1E-4</v>
      </c>
      <c r="B742" s="304">
        <f t="shared" ca="1" si="326"/>
        <v>58.008500000000822</v>
      </c>
      <c r="D742" s="306">
        <f t="shared" ca="1" si="327"/>
        <v>-0.14720428672281513</v>
      </c>
      <c r="E742" s="307">
        <f t="shared" ca="1" si="328"/>
        <v>0.47830903915611067</v>
      </c>
      <c r="F742" s="304">
        <f t="shared" ca="1" si="329"/>
        <v>0.50044843787148996</v>
      </c>
      <c r="G742" s="306">
        <f t="shared" ca="1" si="330"/>
        <v>1.5111564923858367</v>
      </c>
      <c r="H742" s="307">
        <f t="shared" ca="1" si="331"/>
        <v>-105.61777617844439</v>
      </c>
      <c r="I742" s="304">
        <f t="shared" ca="1" si="332"/>
        <v>105.62858627674828</v>
      </c>
      <c r="J742" s="306">
        <f t="shared" ca="1" si="333"/>
        <v>809.6451793302748</v>
      </c>
      <c r="K742" s="307">
        <f t="shared" ca="1" si="334"/>
        <v>-6.685347914879598</v>
      </c>
      <c r="L742" s="304">
        <f t="shared" ca="1" si="319"/>
        <v>809.67277976321759</v>
      </c>
      <c r="M742" s="306">
        <f t="shared" ca="1" si="335"/>
        <v>-1.5564895174483244</v>
      </c>
      <c r="N742" s="304">
        <f t="shared" ca="1" si="336"/>
        <v>-89.180280206143095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1.7842999999999964</v>
      </c>
      <c r="T742" s="304">
        <f t="shared" ca="1" si="320"/>
        <v>17.503982999999966</v>
      </c>
      <c r="U742" s="311">
        <f t="shared" ca="1" si="321"/>
        <v>0</v>
      </c>
      <c r="V742" s="306">
        <f t="shared" ca="1" si="322"/>
        <v>1.2258192289611043</v>
      </c>
      <c r="W742" s="304">
        <f t="shared" ca="1" si="323"/>
        <v>18.359311449294012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-0.48036605916578168</v>
      </c>
      <c r="AH742" s="304">
        <f t="shared" ca="1" si="347"/>
        <v>-10.289362078730193</v>
      </c>
    </row>
    <row r="743" spans="1:34" x14ac:dyDescent="0.2">
      <c r="A743" s="347">
        <f t="shared" ca="1" si="325"/>
        <v>1E-4</v>
      </c>
      <c r="B743" s="304">
        <f t="shared" ca="1" si="326"/>
        <v>58.008600000000826</v>
      </c>
      <c r="D743" s="306">
        <f t="shared" ca="1" si="327"/>
        <v>-0.14720294132433656</v>
      </c>
      <c r="E743" s="307">
        <f t="shared" ca="1" si="328"/>
        <v>0.47831056739613231</v>
      </c>
      <c r="F743" s="304">
        <f t="shared" ca="1" si="329"/>
        <v>0.50044950276461075</v>
      </c>
      <c r="G743" s="306">
        <f t="shared" ca="1" si="330"/>
        <v>1.5111417720917042</v>
      </c>
      <c r="H743" s="307">
        <f t="shared" ca="1" si="331"/>
        <v>-105.61772834738765</v>
      </c>
      <c r="I743" s="304">
        <f t="shared" ca="1" si="332"/>
        <v>105.62853823999428</v>
      </c>
      <c r="J743" s="306">
        <f t="shared" ca="1" si="333"/>
        <v>809.6451793302748</v>
      </c>
      <c r="K743" s="307">
        <f t="shared" ca="1" si="334"/>
        <v>-6.6959096901058892</v>
      </c>
      <c r="L743" s="304">
        <f t="shared" ca="1" si="319"/>
        <v>809.67286703910906</v>
      </c>
      <c r="M743" s="306">
        <f t="shared" ca="1" si="335"/>
        <v>-1.5564896503148908</v>
      </c>
      <c r="N743" s="304">
        <f t="shared" ca="1" si="336"/>
        <v>-89.18028781883659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1.7842999999999964</v>
      </c>
      <c r="T743" s="304">
        <f t="shared" ca="1" si="320"/>
        <v>17.503982999999966</v>
      </c>
      <c r="U743" s="311">
        <f t="shared" ca="1" si="321"/>
        <v>0</v>
      </c>
      <c r="V743" s="306">
        <f t="shared" ca="1" si="322"/>
        <v>1.2258205236446489</v>
      </c>
      <c r="W743" s="304">
        <f t="shared" ca="1" si="323"/>
        <v>18.359314141441992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-0.48036754935419701</v>
      </c>
      <c r="AH743" s="304">
        <f t="shared" ca="1" si="347"/>
        <v>-10.289363587566019</v>
      </c>
    </row>
    <row r="744" spans="1:34" x14ac:dyDescent="0.2">
      <c r="A744" s="347">
        <f t="shared" ca="1" si="325"/>
        <v>1E-4</v>
      </c>
      <c r="B744" s="304">
        <f t="shared" ca="1" si="326"/>
        <v>58.008700000000829</v>
      </c>
      <c r="D744" s="306">
        <f t="shared" ca="1" si="327"/>
        <v>-0.14720159593698212</v>
      </c>
      <c r="E744" s="307">
        <f t="shared" ca="1" si="328"/>
        <v>0.4783120955978184</v>
      </c>
      <c r="F744" s="304">
        <f t="shared" ca="1" si="329"/>
        <v>0.50045056763038154</v>
      </c>
      <c r="G744" s="306">
        <f t="shared" ca="1" si="330"/>
        <v>1.5111270519321105</v>
      </c>
      <c r="H744" s="307">
        <f t="shared" ca="1" si="331"/>
        <v>-105.6176805161781</v>
      </c>
      <c r="I744" s="304">
        <f t="shared" ca="1" si="332"/>
        <v>105.62849020309126</v>
      </c>
      <c r="J744" s="306">
        <f t="shared" ca="1" si="333"/>
        <v>809.6451793302748</v>
      </c>
      <c r="K744" s="307">
        <f t="shared" ca="1" si="334"/>
        <v>-6.7064714605490678</v>
      </c>
      <c r="L744" s="304">
        <f t="shared" ca="1" si="319"/>
        <v>809.67295445272475</v>
      </c>
      <c r="M744" s="306">
        <f t="shared" ca="1" si="335"/>
        <v>-1.5564897831802837</v>
      </c>
      <c r="N744" s="304">
        <f t="shared" ca="1" si="336"/>
        <v>-89.180295431462852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1.7842999999999964</v>
      </c>
      <c r="T744" s="304">
        <f t="shared" ca="1" si="320"/>
        <v>17.503982999999966</v>
      </c>
      <c r="U744" s="311">
        <f t="shared" ca="1" si="321"/>
        <v>0</v>
      </c>
      <c r="V744" s="306">
        <f t="shared" ca="1" si="322"/>
        <v>1.2258218183289757</v>
      </c>
      <c r="W744" s="304">
        <f t="shared" ca="1" si="323"/>
        <v>18.359316833522197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 t="e">
        <f t="shared" ca="1" si="344"/>
        <v>#N/A</v>
      </c>
      <c r="AD744" s="323" t="e">
        <f t="shared" ca="1" si="345"/>
        <v>#N/A</v>
      </c>
      <c r="AE744" s="324" t="e">
        <f t="shared" ca="1" si="324"/>
        <v>#N/A</v>
      </c>
      <c r="AG744" s="306">
        <f t="shared" ca="1" si="346"/>
        <v>-0.48036903950496068</v>
      </c>
      <c r="AH744" s="304">
        <f t="shared" ca="1" si="347"/>
        <v>-10.289365096363856</v>
      </c>
    </row>
    <row r="745" spans="1:34" x14ac:dyDescent="0.2">
      <c r="A745" s="347">
        <f t="shared" ca="1" si="325"/>
        <v>1E-4</v>
      </c>
      <c r="B745" s="304">
        <f t="shared" ca="1" si="326"/>
        <v>58.008800000000832</v>
      </c>
      <c r="D745" s="306">
        <f t="shared" ca="1" si="327"/>
        <v>-0.14720025056075417</v>
      </c>
      <c r="E745" s="307">
        <f t="shared" ca="1" si="328"/>
        <v>0.47831362376117781</v>
      </c>
      <c r="F745" s="304">
        <f t="shared" ca="1" si="329"/>
        <v>0.50045163246881141</v>
      </c>
      <c r="G745" s="306">
        <f t="shared" ca="1" si="330"/>
        <v>1.5111123319070545</v>
      </c>
      <c r="H745" s="307">
        <f t="shared" ca="1" si="331"/>
        <v>-105.61763268481572</v>
      </c>
      <c r="I745" s="304">
        <f t="shared" ca="1" si="332"/>
        <v>105.62844216603922</v>
      </c>
      <c r="J745" s="306">
        <f t="shared" ca="1" si="333"/>
        <v>809.6451793302748</v>
      </c>
      <c r="K745" s="307">
        <f t="shared" ca="1" si="334"/>
        <v>-6.7170332262091179</v>
      </c>
      <c r="L745" s="304">
        <f t="shared" ca="1" si="319"/>
        <v>809.67304200406397</v>
      </c>
      <c r="M745" s="306">
        <f t="shared" ca="1" si="335"/>
        <v>-1.5564899160445032</v>
      </c>
      <c r="N745" s="304">
        <f t="shared" ca="1" si="336"/>
        <v>-89.180303044021869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1.7842999999999964</v>
      </c>
      <c r="T745" s="304">
        <f t="shared" ca="1" si="320"/>
        <v>17.503982999999966</v>
      </c>
      <c r="U745" s="311">
        <f t="shared" ca="1" si="321"/>
        <v>0</v>
      </c>
      <c r="V745" s="306">
        <f t="shared" ca="1" si="322"/>
        <v>1.2258231130140842</v>
      </c>
      <c r="W745" s="304">
        <f t="shared" ca="1" si="323"/>
        <v>18.35931952553463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-0.48037052961807802</v>
      </c>
      <c r="AH745" s="304">
        <f t="shared" ca="1" si="347"/>
        <v>-10.289366605123709</v>
      </c>
    </row>
    <row r="746" spans="1:34" x14ac:dyDescent="0.2">
      <c r="A746" s="347">
        <f t="shared" ca="1" si="325"/>
        <v>1E-4</v>
      </c>
      <c r="B746" s="304">
        <f t="shared" ca="1" si="326"/>
        <v>58.008900000000835</v>
      </c>
      <c r="D746" s="306">
        <f t="shared" ca="1" si="327"/>
        <v>-0.14719890519565279</v>
      </c>
      <c r="E746" s="307">
        <f t="shared" ca="1" si="328"/>
        <v>0.47831515188620699</v>
      </c>
      <c r="F746" s="304">
        <f t="shared" ca="1" si="329"/>
        <v>0.50045269727989683</v>
      </c>
      <c r="G746" s="306">
        <f t="shared" ca="1" si="330"/>
        <v>1.5110976120165349</v>
      </c>
      <c r="H746" s="307">
        <f t="shared" ca="1" si="331"/>
        <v>-105.61758485330053</v>
      </c>
      <c r="I746" s="304">
        <f t="shared" ca="1" si="332"/>
        <v>105.6283941288382</v>
      </c>
      <c r="J746" s="306">
        <f t="shared" ca="1" si="333"/>
        <v>809.6451793302748</v>
      </c>
      <c r="K746" s="307">
        <f t="shared" ca="1" si="334"/>
        <v>-6.7275949870860234</v>
      </c>
      <c r="L746" s="304">
        <f t="shared" ca="1" si="319"/>
        <v>809.67312969312695</v>
      </c>
      <c r="M746" s="306">
        <f t="shared" ca="1" si="335"/>
        <v>-1.5564900489075493</v>
      </c>
      <c r="N746" s="304">
        <f t="shared" ca="1" si="336"/>
        <v>-89.180310656513669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1.7842999999999964</v>
      </c>
      <c r="T746" s="304">
        <f t="shared" ca="1" si="320"/>
        <v>17.503982999999966</v>
      </c>
      <c r="U746" s="311">
        <f t="shared" ca="1" si="321"/>
        <v>0</v>
      </c>
      <c r="V746" s="306">
        <f t="shared" ca="1" si="322"/>
        <v>1.2258244076999736</v>
      </c>
      <c r="W746" s="304">
        <f t="shared" ca="1" si="323"/>
        <v>18.359322217479292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-0.48037201969355259</v>
      </c>
      <c r="AH746" s="304">
        <f t="shared" ca="1" si="347"/>
        <v>-10.28936811384558</v>
      </c>
    </row>
    <row r="747" spans="1:34" x14ac:dyDescent="0.2">
      <c r="A747" s="347">
        <f t="shared" ca="1" si="325"/>
        <v>1E-4</v>
      </c>
      <c r="B747" s="304">
        <f t="shared" ca="1" si="326"/>
        <v>58.009000000000839</v>
      </c>
      <c r="D747" s="306">
        <f t="shared" ca="1" si="327"/>
        <v>-0.14719755984167562</v>
      </c>
      <c r="E747" s="307">
        <f t="shared" ca="1" si="328"/>
        <v>0.47831667997291127</v>
      </c>
      <c r="F747" s="304">
        <f t="shared" ca="1" si="329"/>
        <v>0.50045376206364167</v>
      </c>
      <c r="G747" s="306">
        <f t="shared" ca="1" si="330"/>
        <v>1.5110828922605508</v>
      </c>
      <c r="H747" s="307">
        <f t="shared" ca="1" si="331"/>
        <v>-105.61753702163253</v>
      </c>
      <c r="I747" s="304">
        <f t="shared" ca="1" si="332"/>
        <v>105.62834609148815</v>
      </c>
      <c r="J747" s="306">
        <f t="shared" ca="1" si="333"/>
        <v>809.6451793302748</v>
      </c>
      <c r="K747" s="307">
        <f t="shared" ca="1" si="334"/>
        <v>-6.7381567431797702</v>
      </c>
      <c r="L747" s="304">
        <f t="shared" ca="1" si="319"/>
        <v>809.67321751991312</v>
      </c>
      <c r="M747" s="306">
        <f t="shared" ca="1" si="335"/>
        <v>-1.5564901817694221</v>
      </c>
      <c r="N747" s="304">
        <f t="shared" ca="1" si="336"/>
        <v>-89.180318268938237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1.7842999999999964</v>
      </c>
      <c r="T747" s="304">
        <f t="shared" ca="1" si="320"/>
        <v>17.503982999999966</v>
      </c>
      <c r="U747" s="311">
        <f t="shared" ca="1" si="321"/>
        <v>0</v>
      </c>
      <c r="V747" s="306">
        <f t="shared" ca="1" si="322"/>
        <v>1.2258257023866448</v>
      </c>
      <c r="W747" s="304">
        <f t="shared" ca="1" si="323"/>
        <v>18.359324909356179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-0.48037350973137904</v>
      </c>
      <c r="AH747" s="304">
        <f t="shared" ca="1" si="347"/>
        <v>-10.289369622529467</v>
      </c>
    </row>
    <row r="748" spans="1:34" x14ac:dyDescent="0.2">
      <c r="A748" s="347">
        <f t="shared" ca="1" si="325"/>
        <v>1E-4</v>
      </c>
      <c r="B748" s="304">
        <f t="shared" ca="1" si="326"/>
        <v>58.009100000000842</v>
      </c>
      <c r="D748" s="306">
        <f t="shared" ca="1" si="327"/>
        <v>-0.14719621449882281</v>
      </c>
      <c r="E748" s="307">
        <f t="shared" ca="1" si="328"/>
        <v>0.47831820802128711</v>
      </c>
      <c r="F748" s="304">
        <f t="shared" ca="1" si="329"/>
        <v>0.5004548268200425</v>
      </c>
      <c r="G748" s="306">
        <f t="shared" ca="1" si="330"/>
        <v>1.5110681726391009</v>
      </c>
      <c r="H748" s="307">
        <f t="shared" ca="1" si="331"/>
        <v>-105.61748918981172</v>
      </c>
      <c r="I748" s="304">
        <f t="shared" ca="1" si="332"/>
        <v>105.62829805398911</v>
      </c>
      <c r="J748" s="306">
        <f t="shared" ca="1" si="333"/>
        <v>809.6451793302748</v>
      </c>
      <c r="K748" s="307">
        <f t="shared" ca="1" si="334"/>
        <v>-6.7487184944903422</v>
      </c>
      <c r="L748" s="304">
        <f t="shared" ca="1" si="319"/>
        <v>809.67330548442237</v>
      </c>
      <c r="M748" s="306">
        <f t="shared" ca="1" si="335"/>
        <v>-1.5564903146301214</v>
      </c>
      <c r="N748" s="304">
        <f t="shared" ca="1" si="336"/>
        <v>-89.180325881295573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1.7842999999999964</v>
      </c>
      <c r="T748" s="304">
        <f t="shared" ca="1" si="320"/>
        <v>17.503982999999966</v>
      </c>
      <c r="U748" s="311">
        <f t="shared" ca="1" si="321"/>
        <v>0</v>
      </c>
      <c r="V748" s="306">
        <f t="shared" ca="1" si="322"/>
        <v>1.2258269970740976</v>
      </c>
      <c r="W748" s="304">
        <f t="shared" ca="1" si="323"/>
        <v>18.359327601165297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-0.48037499973156272</v>
      </c>
      <c r="AH748" s="304">
        <f t="shared" ca="1" si="347"/>
        <v>-10.289371131175372</v>
      </c>
    </row>
    <row r="749" spans="1:34" x14ac:dyDescent="0.2">
      <c r="A749" s="347">
        <f t="shared" ca="1" si="325"/>
        <v>1E-4</v>
      </c>
      <c r="B749" s="304">
        <f t="shared" ca="1" si="326"/>
        <v>58.009200000000845</v>
      </c>
      <c r="D749" s="306">
        <f t="shared" ca="1" si="327"/>
        <v>-0.14719486916709659</v>
      </c>
      <c r="E749" s="307">
        <f t="shared" ca="1" si="328"/>
        <v>0.47831973603133804</v>
      </c>
      <c r="F749" s="304">
        <f t="shared" ca="1" si="329"/>
        <v>0.50045589154910308</v>
      </c>
      <c r="G749" s="306">
        <f t="shared" ca="1" si="330"/>
        <v>1.5110534531521842</v>
      </c>
      <c r="H749" s="307">
        <f t="shared" ca="1" si="331"/>
        <v>-105.61744135783812</v>
      </c>
      <c r="I749" s="304">
        <f t="shared" ca="1" si="332"/>
        <v>105.62825001634107</v>
      </c>
      <c r="J749" s="306">
        <f t="shared" ca="1" si="333"/>
        <v>809.6451793302748</v>
      </c>
      <c r="K749" s="307">
        <f t="shared" ca="1" si="334"/>
        <v>-6.7592802410177244</v>
      </c>
      <c r="L749" s="304">
        <f t="shared" ca="1" si="319"/>
        <v>809.67339358665447</v>
      </c>
      <c r="M749" s="306">
        <f t="shared" ca="1" si="335"/>
        <v>-1.5564904474896473</v>
      </c>
      <c r="N749" s="304">
        <f t="shared" ca="1" si="336"/>
        <v>-89.180333493585664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1.7842999999999964</v>
      </c>
      <c r="T749" s="304">
        <f t="shared" ca="1" si="320"/>
        <v>17.503982999999966</v>
      </c>
      <c r="U749" s="311">
        <f t="shared" ca="1" si="321"/>
        <v>0</v>
      </c>
      <c r="V749" s="306">
        <f t="shared" ca="1" si="322"/>
        <v>1.225828291762332</v>
      </c>
      <c r="W749" s="304">
        <f t="shared" ca="1" si="323"/>
        <v>18.359330292906648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-0.48037648969410007</v>
      </c>
      <c r="AH749" s="304">
        <f t="shared" ca="1" si="347"/>
        <v>-10.289372639783295</v>
      </c>
    </row>
    <row r="750" spans="1:34" x14ac:dyDescent="0.2">
      <c r="A750" s="347">
        <f t="shared" ca="1" si="325"/>
        <v>1E-4</v>
      </c>
      <c r="B750" s="304">
        <f t="shared" ca="1" si="326"/>
        <v>58.009300000000849</v>
      </c>
      <c r="D750" s="306">
        <f t="shared" ca="1" si="327"/>
        <v>-0.14719352384649703</v>
      </c>
      <c r="E750" s="307">
        <f t="shared" ca="1" si="328"/>
        <v>0.47832126400306407</v>
      </c>
      <c r="F750" s="304">
        <f t="shared" ca="1" si="329"/>
        <v>0.50045695625082309</v>
      </c>
      <c r="G750" s="306">
        <f t="shared" ca="1" si="330"/>
        <v>1.5110387337997995</v>
      </c>
      <c r="H750" s="307">
        <f t="shared" ca="1" si="331"/>
        <v>-105.61739352571172</v>
      </c>
      <c r="I750" s="304">
        <f t="shared" ca="1" si="332"/>
        <v>105.62820197854404</v>
      </c>
      <c r="J750" s="306">
        <f t="shared" ca="1" si="333"/>
        <v>809.6451793302748</v>
      </c>
      <c r="K750" s="307">
        <f t="shared" ca="1" si="334"/>
        <v>-6.7698419827619016</v>
      </c>
      <c r="L750" s="304">
        <f t="shared" ca="1" si="319"/>
        <v>809.67348182660919</v>
      </c>
      <c r="M750" s="306">
        <f t="shared" ca="1" si="335"/>
        <v>-1.556490580348</v>
      </c>
      <c r="N750" s="304">
        <f t="shared" ca="1" si="336"/>
        <v>-89.180341105808552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1.7842999999999964</v>
      </c>
      <c r="T750" s="304">
        <f t="shared" ca="1" si="320"/>
        <v>17.503982999999966</v>
      </c>
      <c r="U750" s="311">
        <f t="shared" ca="1" si="321"/>
        <v>0</v>
      </c>
      <c r="V750" s="306">
        <f t="shared" ca="1" si="322"/>
        <v>1.2258295864513475</v>
      </c>
      <c r="W750" s="304">
        <f t="shared" ca="1" si="323"/>
        <v>18.359332984580224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-0.4803779796189982</v>
      </c>
      <c r="AH750" s="304">
        <f t="shared" ca="1" si="347"/>
        <v>-10.289374148353239</v>
      </c>
    </row>
    <row r="751" spans="1:34" x14ac:dyDescent="0.2">
      <c r="A751" s="347">
        <f t="shared" ca="1" si="325"/>
        <v>1E-4</v>
      </c>
      <c r="B751" s="304">
        <f t="shared" ca="1" si="326"/>
        <v>58.009400000000852</v>
      </c>
      <c r="D751" s="306">
        <f t="shared" ca="1" si="327"/>
        <v>-0.14719217853701952</v>
      </c>
      <c r="E751" s="307">
        <f t="shared" ca="1" si="328"/>
        <v>0.47832279193645988</v>
      </c>
      <c r="F751" s="304">
        <f t="shared" ca="1" si="329"/>
        <v>0.50045802092519576</v>
      </c>
      <c r="G751" s="306">
        <f t="shared" ca="1" si="330"/>
        <v>1.5110240145819458</v>
      </c>
      <c r="H751" s="307">
        <f t="shared" ca="1" si="331"/>
        <v>-105.61734569343253</v>
      </c>
      <c r="I751" s="304">
        <f t="shared" ca="1" si="332"/>
        <v>105.62815394059801</v>
      </c>
      <c r="J751" s="306">
        <f t="shared" ca="1" si="333"/>
        <v>809.6451793302748</v>
      </c>
      <c r="K751" s="307">
        <f t="shared" ca="1" si="334"/>
        <v>-6.7804037197228588</v>
      </c>
      <c r="L751" s="304">
        <f t="shared" ca="1" si="319"/>
        <v>809.67357020428631</v>
      </c>
      <c r="M751" s="306">
        <f t="shared" ca="1" si="335"/>
        <v>-1.5564907132051793</v>
      </c>
      <c r="N751" s="304">
        <f t="shared" ca="1" si="336"/>
        <v>-89.180348717964208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1.7842999999999964</v>
      </c>
      <c r="T751" s="304">
        <f t="shared" ca="1" si="320"/>
        <v>17.503982999999966</v>
      </c>
      <c r="U751" s="311">
        <f t="shared" ca="1" si="321"/>
        <v>0</v>
      </c>
      <c r="V751" s="306">
        <f t="shared" ca="1" si="322"/>
        <v>1.2258308811411454</v>
      </c>
      <c r="W751" s="304">
        <f t="shared" ca="1" si="323"/>
        <v>18.359335676186046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-0.48037946950624821</v>
      </c>
      <c r="AH751" s="304">
        <f t="shared" ca="1" si="347"/>
        <v>-10.289375656885198</v>
      </c>
    </row>
    <row r="752" spans="1:34" x14ac:dyDescent="0.2">
      <c r="A752" s="347">
        <f t="shared" ca="1" si="325"/>
        <v>1E-4</v>
      </c>
      <c r="B752" s="304">
        <f t="shared" ca="1" si="326"/>
        <v>58.009500000000855</v>
      </c>
      <c r="D752" s="306">
        <f t="shared" ca="1" si="327"/>
        <v>-0.14719083323866883</v>
      </c>
      <c r="E752" s="307">
        <f t="shared" ca="1" si="328"/>
        <v>0.47832431983153967</v>
      </c>
      <c r="F752" s="304">
        <f t="shared" ca="1" si="329"/>
        <v>0.50045908557223606</v>
      </c>
      <c r="G752" s="306">
        <f t="shared" ca="1" si="330"/>
        <v>1.5110092954986218</v>
      </c>
      <c r="H752" s="307">
        <f t="shared" ca="1" si="331"/>
        <v>-105.61729786100054</v>
      </c>
      <c r="I752" s="304">
        <f t="shared" ca="1" si="332"/>
        <v>105.62810590250301</v>
      </c>
      <c r="J752" s="306">
        <f t="shared" ca="1" si="333"/>
        <v>809.6451793302748</v>
      </c>
      <c r="K752" s="307">
        <f t="shared" ca="1" si="334"/>
        <v>-6.7909654519005809</v>
      </c>
      <c r="L752" s="304">
        <f t="shared" ca="1" si="319"/>
        <v>809.67365871968548</v>
      </c>
      <c r="M752" s="306">
        <f t="shared" ca="1" si="335"/>
        <v>-1.5564908460611853</v>
      </c>
      <c r="N752" s="304">
        <f t="shared" ca="1" si="336"/>
        <v>-89.180356330052632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1.7842999999999964</v>
      </c>
      <c r="T752" s="304">
        <f t="shared" ca="1" si="320"/>
        <v>17.503982999999966</v>
      </c>
      <c r="U752" s="311">
        <f t="shared" ca="1" si="321"/>
        <v>0</v>
      </c>
      <c r="V752" s="306">
        <f t="shared" ca="1" si="322"/>
        <v>1.2258321758317239</v>
      </c>
      <c r="W752" s="304">
        <f t="shared" ca="1" si="323"/>
        <v>18.359338367724092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-0.48038095935586611</v>
      </c>
      <c r="AH752" s="304">
        <f t="shared" ca="1" si="347"/>
        <v>-10.289377165379186</v>
      </c>
    </row>
    <row r="753" spans="1:34" x14ac:dyDescent="0.2">
      <c r="A753" s="347">
        <f t="shared" ca="1" si="325"/>
        <v>1E-4</v>
      </c>
      <c r="B753" s="304">
        <f t="shared" ca="1" si="326"/>
        <v>58.009600000000859</v>
      </c>
      <c r="D753" s="306">
        <f t="shared" ca="1" si="327"/>
        <v>-0.14718948795144252</v>
      </c>
      <c r="E753" s="307">
        <f t="shared" ca="1" si="328"/>
        <v>0.47832584768829101</v>
      </c>
      <c r="F753" s="304">
        <f t="shared" ca="1" si="329"/>
        <v>0.50046015019193091</v>
      </c>
      <c r="G753" s="306">
        <f t="shared" ca="1" si="330"/>
        <v>1.5109945765498267</v>
      </c>
      <c r="H753" s="307">
        <f t="shared" ca="1" si="331"/>
        <v>-105.61725002841577</v>
      </c>
      <c r="I753" s="304">
        <f t="shared" ca="1" si="332"/>
        <v>105.62805786425903</v>
      </c>
      <c r="J753" s="306">
        <f t="shared" ca="1" si="333"/>
        <v>809.6451793302748</v>
      </c>
      <c r="K753" s="307">
        <f t="shared" ca="1" si="334"/>
        <v>-6.8015271792950518</v>
      </c>
      <c r="L753" s="304">
        <f t="shared" ca="1" si="319"/>
        <v>809.6737473728067</v>
      </c>
      <c r="M753" s="306">
        <f t="shared" ca="1" si="335"/>
        <v>-1.5564909789160177</v>
      </c>
      <c r="N753" s="304">
        <f t="shared" ca="1" si="336"/>
        <v>-89.180363942073825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1.7842999999999964</v>
      </c>
      <c r="T753" s="304">
        <f t="shared" ca="1" si="320"/>
        <v>17.503982999999966</v>
      </c>
      <c r="U753" s="311">
        <f t="shared" ca="1" si="321"/>
        <v>0</v>
      </c>
      <c r="V753" s="306">
        <f t="shared" ca="1" si="322"/>
        <v>1.2258334705230844</v>
      </c>
      <c r="W753" s="304">
        <f t="shared" ca="1" si="323"/>
        <v>18.359341059194385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-0.4803824491678359</v>
      </c>
      <c r="AH753" s="304">
        <f t="shared" ca="1" si="347"/>
        <v>-10.28937867383519</v>
      </c>
    </row>
    <row r="754" spans="1:34" x14ac:dyDescent="0.2">
      <c r="A754" s="347">
        <f t="shared" ca="1" si="325"/>
        <v>1E-4</v>
      </c>
      <c r="B754" s="304">
        <f t="shared" ca="1" si="326"/>
        <v>58.009700000000862</v>
      </c>
      <c r="D754" s="306">
        <f t="shared" ca="1" si="327"/>
        <v>-0.14718814267534305</v>
      </c>
      <c r="E754" s="307">
        <f t="shared" ca="1" si="328"/>
        <v>0.47832737550672455</v>
      </c>
      <c r="F754" s="304">
        <f t="shared" ca="1" si="329"/>
        <v>0.50046121478429095</v>
      </c>
      <c r="G754" s="306">
        <f t="shared" ca="1" si="330"/>
        <v>1.5109798577355591</v>
      </c>
      <c r="H754" s="307">
        <f t="shared" ca="1" si="331"/>
        <v>-105.61720219567822</v>
      </c>
      <c r="I754" s="304">
        <f t="shared" ca="1" si="332"/>
        <v>105.62800982586607</v>
      </c>
      <c r="J754" s="306">
        <f t="shared" ca="1" si="333"/>
        <v>809.6451793302748</v>
      </c>
      <c r="K754" s="307">
        <f t="shared" ca="1" si="334"/>
        <v>-6.8120889019062565</v>
      </c>
      <c r="L754" s="304">
        <f t="shared" ca="1" si="319"/>
        <v>809.67383616364953</v>
      </c>
      <c r="M754" s="306">
        <f t="shared" ca="1" si="335"/>
        <v>-1.5564911117696771</v>
      </c>
      <c r="N754" s="304">
        <f t="shared" ca="1" si="336"/>
        <v>-89.180371554027801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1.7842999999999964</v>
      </c>
      <c r="T754" s="304">
        <f t="shared" ca="1" si="320"/>
        <v>17.503982999999966</v>
      </c>
      <c r="U754" s="311">
        <f t="shared" ca="1" si="321"/>
        <v>0</v>
      </c>
      <c r="V754" s="306">
        <f t="shared" ca="1" si="322"/>
        <v>1.2258347652152264</v>
      </c>
      <c r="W754" s="304">
        <f t="shared" ca="1" si="323"/>
        <v>18.359343750596913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 t="e">
        <f t="shared" ca="1" si="344"/>
        <v>#N/A</v>
      </c>
      <c r="AD754" s="323" t="e">
        <f t="shared" ca="1" si="345"/>
        <v>#N/A</v>
      </c>
      <c r="AE754" s="324" t="e">
        <f t="shared" ca="1" si="324"/>
        <v>#N/A</v>
      </c>
      <c r="AG754" s="306">
        <f t="shared" ca="1" si="346"/>
        <v>-0.4803839389421718</v>
      </c>
      <c r="AH754" s="304">
        <f t="shared" ca="1" si="347"/>
        <v>-10.28938018225322</v>
      </c>
    </row>
    <row r="755" spans="1:34" x14ac:dyDescent="0.2">
      <c r="A755" s="347">
        <f t="shared" ca="1" si="325"/>
        <v>1E-4</v>
      </c>
      <c r="B755" s="304">
        <f t="shared" ca="1" si="326"/>
        <v>58.009800000000865</v>
      </c>
      <c r="D755" s="306">
        <f t="shared" ca="1" si="327"/>
        <v>-0.1471867974103658</v>
      </c>
      <c r="E755" s="307">
        <f t="shared" ca="1" si="328"/>
        <v>0.47832890328683675</v>
      </c>
      <c r="F755" s="304">
        <f t="shared" ca="1" si="329"/>
        <v>0.50046227934931131</v>
      </c>
      <c r="G755" s="306">
        <f t="shared" ca="1" si="330"/>
        <v>1.5109651390558181</v>
      </c>
      <c r="H755" s="307">
        <f t="shared" ca="1" si="331"/>
        <v>-105.61715436278789</v>
      </c>
      <c r="I755" s="304">
        <f t="shared" ca="1" si="332"/>
        <v>105.62796178732412</v>
      </c>
      <c r="J755" s="306">
        <f t="shared" ca="1" si="333"/>
        <v>809.6451793302748</v>
      </c>
      <c r="K755" s="307">
        <f t="shared" ca="1" si="334"/>
        <v>-6.8226506197341799</v>
      </c>
      <c r="L755" s="304">
        <f t="shared" ca="1" si="319"/>
        <v>809.67392509221372</v>
      </c>
      <c r="M755" s="306">
        <f t="shared" ca="1" si="335"/>
        <v>-1.556491244622163</v>
      </c>
      <c r="N755" s="304">
        <f t="shared" ca="1" si="336"/>
        <v>-89.18037916591453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1.7842999999999964</v>
      </c>
      <c r="T755" s="304">
        <f t="shared" ca="1" si="320"/>
        <v>17.503982999999966</v>
      </c>
      <c r="U755" s="311">
        <f t="shared" ca="1" si="321"/>
        <v>0</v>
      </c>
      <c r="V755" s="306">
        <f t="shared" ca="1" si="322"/>
        <v>1.2258360599081501</v>
      </c>
      <c r="W755" s="304">
        <f t="shared" ca="1" si="323"/>
        <v>18.35934644193167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-0.48038542867886846</v>
      </c>
      <c r="AH755" s="304">
        <f t="shared" ca="1" si="347"/>
        <v>-10.289381690633274</v>
      </c>
    </row>
    <row r="756" spans="1:34" x14ac:dyDescent="0.2">
      <c r="A756" s="347">
        <f t="shared" ca="1" si="325"/>
        <v>1E-4</v>
      </c>
      <c r="B756" s="304">
        <f t="shared" ca="1" si="326"/>
        <v>58.009900000000869</v>
      </c>
      <c r="D756" s="306">
        <f t="shared" ca="1" si="327"/>
        <v>-0.1471854521565153</v>
      </c>
      <c r="E756" s="307">
        <f t="shared" ca="1" si="328"/>
        <v>0.4783304310286205</v>
      </c>
      <c r="F756" s="304">
        <f t="shared" ca="1" si="329"/>
        <v>0.5004633438869861</v>
      </c>
      <c r="G756" s="306">
        <f t="shared" ca="1" si="330"/>
        <v>1.5109504205106024</v>
      </c>
      <c r="H756" s="307">
        <f t="shared" ca="1" si="331"/>
        <v>-105.61710652974479</v>
      </c>
      <c r="I756" s="304">
        <f t="shared" ca="1" si="332"/>
        <v>105.62791374863322</v>
      </c>
      <c r="J756" s="306">
        <f t="shared" ca="1" si="333"/>
        <v>809.6451793302748</v>
      </c>
      <c r="K756" s="307">
        <f t="shared" ca="1" si="334"/>
        <v>-6.8332123327788068</v>
      </c>
      <c r="L756" s="304">
        <f t="shared" ca="1" si="319"/>
        <v>809.67401415849929</v>
      </c>
      <c r="M756" s="306">
        <f t="shared" ca="1" si="335"/>
        <v>-1.5564913774734759</v>
      </c>
      <c r="N756" s="304">
        <f t="shared" ca="1" si="336"/>
        <v>-89.180386777734057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1.7842999999999964</v>
      </c>
      <c r="T756" s="304">
        <f t="shared" ca="1" si="320"/>
        <v>17.503982999999966</v>
      </c>
      <c r="U756" s="311">
        <f t="shared" ca="1" si="321"/>
        <v>0</v>
      </c>
      <c r="V756" s="306">
        <f t="shared" ca="1" si="322"/>
        <v>1.2258373546018551</v>
      </c>
      <c r="W756" s="304">
        <f t="shared" ca="1" si="323"/>
        <v>18.359349133198673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-0.48038691837792058</v>
      </c>
      <c r="AH756" s="304">
        <f t="shared" ca="1" si="347"/>
        <v>-10.289383198975344</v>
      </c>
    </row>
    <row r="757" spans="1:34" x14ac:dyDescent="0.2">
      <c r="A757" s="347">
        <f t="shared" ca="1" si="325"/>
        <v>1E-4</v>
      </c>
      <c r="B757" s="304">
        <f t="shared" ca="1" si="326"/>
        <v>58.010000000000872</v>
      </c>
      <c r="D757" s="306">
        <f t="shared" ca="1" si="327"/>
        <v>-0.14718410691378714</v>
      </c>
      <c r="E757" s="307">
        <f t="shared" ca="1" si="328"/>
        <v>0.47833195873208822</v>
      </c>
      <c r="F757" s="304">
        <f t="shared" ca="1" si="329"/>
        <v>0.50046440839732576</v>
      </c>
      <c r="G757" s="306">
        <f t="shared" ca="1" si="330"/>
        <v>1.510935702099911</v>
      </c>
      <c r="H757" s="307">
        <f t="shared" ca="1" si="331"/>
        <v>-105.61705869654891</v>
      </c>
      <c r="I757" s="304">
        <f t="shared" ca="1" si="332"/>
        <v>105.62786570979334</v>
      </c>
      <c r="J757" s="306">
        <f t="shared" ca="1" si="333"/>
        <v>809.6451793302748</v>
      </c>
      <c r="K757" s="307">
        <f t="shared" ca="1" si="334"/>
        <v>-6.8437740410401213</v>
      </c>
      <c r="L757" s="304">
        <f t="shared" ca="1" si="319"/>
        <v>809.67410336250578</v>
      </c>
      <c r="M757" s="306">
        <f t="shared" ca="1" si="335"/>
        <v>-1.5564915103236152</v>
      </c>
      <c r="N757" s="304">
        <f t="shared" ca="1" si="336"/>
        <v>-89.180394389486352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1.7842999999999964</v>
      </c>
      <c r="T757" s="304">
        <f t="shared" ca="1" si="320"/>
        <v>17.503982999999966</v>
      </c>
      <c r="U757" s="311">
        <f t="shared" ca="1" si="321"/>
        <v>0</v>
      </c>
      <c r="V757" s="306">
        <f t="shared" ca="1" si="322"/>
        <v>1.2258386492963418</v>
      </c>
      <c r="W757" s="304">
        <f t="shared" ca="1" si="323"/>
        <v>18.359351824397915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-0.48038840803933702</v>
      </c>
      <c r="AH757" s="304">
        <f t="shared" ca="1" si="347"/>
        <v>-10.289384707279442</v>
      </c>
    </row>
    <row r="758" spans="1:34" x14ac:dyDescent="0.2">
      <c r="A758" s="347">
        <f t="shared" ca="1" si="325"/>
        <v>1E-4</v>
      </c>
      <c r="B758" s="304">
        <f t="shared" ca="1" si="326"/>
        <v>58.010100000000875</v>
      </c>
      <c r="D758" s="306">
        <f t="shared" ca="1" si="327"/>
        <v>-0.14718276168218589</v>
      </c>
      <c r="E758" s="307">
        <f t="shared" ca="1" si="328"/>
        <v>0.47833348639723638</v>
      </c>
      <c r="F758" s="304">
        <f t="shared" ca="1" si="329"/>
        <v>0.50046547288032794</v>
      </c>
      <c r="G758" s="306">
        <f t="shared" ca="1" si="330"/>
        <v>1.5109209838237427</v>
      </c>
      <c r="H758" s="307">
        <f t="shared" ca="1" si="331"/>
        <v>-105.61701086320026</v>
      </c>
      <c r="I758" s="304">
        <f t="shared" ca="1" si="332"/>
        <v>105.6278176708045</v>
      </c>
      <c r="J758" s="306">
        <f t="shared" ca="1" si="333"/>
        <v>809.6451793302748</v>
      </c>
      <c r="K758" s="307">
        <f t="shared" ca="1" si="334"/>
        <v>-6.8543357445181083</v>
      </c>
      <c r="L758" s="304">
        <f t="shared" ca="1" si="319"/>
        <v>809.67419270423295</v>
      </c>
      <c r="M758" s="306">
        <f t="shared" ca="1" si="335"/>
        <v>-1.5564916431725813</v>
      </c>
      <c r="N758" s="304">
        <f t="shared" ca="1" si="336"/>
        <v>-89.180402001171416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1.7842999999999964</v>
      </c>
      <c r="T758" s="304">
        <f t="shared" ca="1" si="320"/>
        <v>17.503982999999966</v>
      </c>
      <c r="U758" s="311">
        <f t="shared" ca="1" si="321"/>
        <v>0</v>
      </c>
      <c r="V758" s="306">
        <f t="shared" ca="1" si="322"/>
        <v>1.2258399439916099</v>
      </c>
      <c r="W758" s="304">
        <f t="shared" ca="1" si="323"/>
        <v>18.359354515529404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-0.48038989766311602</v>
      </c>
      <c r="AH758" s="304">
        <f t="shared" ca="1" si="347"/>
        <v>-10.289386215545566</v>
      </c>
    </row>
    <row r="759" spans="1:34" x14ac:dyDescent="0.2">
      <c r="A759" s="347">
        <f t="shared" ca="1" si="325"/>
        <v>1E-4</v>
      </c>
      <c r="B759" s="304">
        <f t="shared" ca="1" si="326"/>
        <v>58.010200000000879</v>
      </c>
      <c r="D759" s="306">
        <f t="shared" ca="1" si="327"/>
        <v>-0.14718141646170929</v>
      </c>
      <c r="E759" s="307">
        <f t="shared" ca="1" si="328"/>
        <v>0.47833501402406675</v>
      </c>
      <c r="F759" s="304">
        <f t="shared" ca="1" si="329"/>
        <v>0.50046653733599333</v>
      </c>
      <c r="G759" s="306">
        <f t="shared" ca="1" si="330"/>
        <v>1.5109062656820966</v>
      </c>
      <c r="H759" s="307">
        <f t="shared" ca="1" si="331"/>
        <v>-105.61696302969887</v>
      </c>
      <c r="I759" s="304">
        <f t="shared" ca="1" si="332"/>
        <v>105.62776963166672</v>
      </c>
      <c r="J759" s="306">
        <f t="shared" ca="1" si="333"/>
        <v>809.6451793302748</v>
      </c>
      <c r="K759" s="307">
        <f t="shared" ca="1" si="334"/>
        <v>-6.8648974432127536</v>
      </c>
      <c r="L759" s="304">
        <f t="shared" ca="1" si="319"/>
        <v>809.6742821836807</v>
      </c>
      <c r="M759" s="306">
        <f t="shared" ca="1" si="335"/>
        <v>-1.5564917760203743</v>
      </c>
      <c r="N759" s="304">
        <f t="shared" ca="1" si="336"/>
        <v>-89.180409612789276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1.7842999999999964</v>
      </c>
      <c r="T759" s="304">
        <f t="shared" ca="1" si="320"/>
        <v>17.503982999999966</v>
      </c>
      <c r="U759" s="311">
        <f t="shared" ca="1" si="321"/>
        <v>0</v>
      </c>
      <c r="V759" s="306">
        <f t="shared" ca="1" si="322"/>
        <v>1.2258412386876596</v>
      </c>
      <c r="W759" s="304">
        <f t="shared" ca="1" si="323"/>
        <v>18.359357206593138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-0.48039138724925934</v>
      </c>
      <c r="AH759" s="304">
        <f t="shared" ca="1" si="347"/>
        <v>-10.289387723773716</v>
      </c>
    </row>
    <row r="760" spans="1:34" x14ac:dyDescent="0.2">
      <c r="A760" s="347">
        <f t="shared" ca="1" si="325"/>
        <v>1E-4</v>
      </c>
      <c r="B760" s="304">
        <f t="shared" ca="1" si="326"/>
        <v>58.010300000000882</v>
      </c>
      <c r="D760" s="306">
        <f t="shared" ca="1" si="327"/>
        <v>-0.14718007125235508</v>
      </c>
      <c r="E760" s="307">
        <f t="shared" ca="1" si="328"/>
        <v>0.47833654161257755</v>
      </c>
      <c r="F760" s="304">
        <f t="shared" ca="1" si="329"/>
        <v>0.50046760176431948</v>
      </c>
      <c r="G760" s="306">
        <f t="shared" ca="1" si="330"/>
        <v>1.5108915476749714</v>
      </c>
      <c r="H760" s="307">
        <f t="shared" ca="1" si="331"/>
        <v>-105.6169151960447</v>
      </c>
      <c r="I760" s="304">
        <f t="shared" ca="1" si="332"/>
        <v>105.62772159237997</v>
      </c>
      <c r="J760" s="306">
        <f t="shared" ca="1" si="333"/>
        <v>809.6451793302748</v>
      </c>
      <c r="K760" s="307">
        <f t="shared" ca="1" si="334"/>
        <v>-6.8754591371240412</v>
      </c>
      <c r="L760" s="304">
        <f t="shared" ca="1" si="319"/>
        <v>809.6743718008488</v>
      </c>
      <c r="M760" s="306">
        <f t="shared" ca="1" si="335"/>
        <v>-1.5564919088669937</v>
      </c>
      <c r="N760" s="304">
        <f t="shared" ca="1" si="336"/>
        <v>-89.180417224339891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1.7842999999999964</v>
      </c>
      <c r="T760" s="304">
        <f t="shared" ca="1" si="320"/>
        <v>17.503982999999966</v>
      </c>
      <c r="U760" s="311">
        <f t="shared" ca="1" si="321"/>
        <v>0</v>
      </c>
      <c r="V760" s="306">
        <f t="shared" ca="1" si="322"/>
        <v>1.2258425333844907</v>
      </c>
      <c r="W760" s="304">
        <f t="shared" ca="1" si="323"/>
        <v>18.359359897589108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-0.48039287679776876</v>
      </c>
      <c r="AH760" s="304">
        <f t="shared" ca="1" si="347"/>
        <v>-10.289389231963893</v>
      </c>
    </row>
    <row r="761" spans="1:34" x14ac:dyDescent="0.2">
      <c r="A761" s="347">
        <f t="shared" ca="1" si="325"/>
        <v>1E-4</v>
      </c>
      <c r="B761" s="304">
        <f t="shared" ca="1" si="326"/>
        <v>58.010400000000885</v>
      </c>
      <c r="D761" s="306">
        <f t="shared" ca="1" si="327"/>
        <v>-0.1471787260541278</v>
      </c>
      <c r="E761" s="307">
        <f t="shared" ca="1" si="328"/>
        <v>0.47833806916276878</v>
      </c>
      <c r="F761" s="304">
        <f t="shared" ca="1" si="329"/>
        <v>0.50046866616530727</v>
      </c>
      <c r="G761" s="306">
        <f t="shared" ca="1" si="330"/>
        <v>1.510876829802366</v>
      </c>
      <c r="H761" s="307">
        <f t="shared" ca="1" si="331"/>
        <v>-105.61686736223778</v>
      </c>
      <c r="I761" s="304">
        <f t="shared" ca="1" si="332"/>
        <v>105.62767355294427</v>
      </c>
      <c r="J761" s="306">
        <f t="shared" ca="1" si="333"/>
        <v>809.6451793302748</v>
      </c>
      <c r="K761" s="307">
        <f t="shared" ca="1" si="334"/>
        <v>-6.8860208262519551</v>
      </c>
      <c r="L761" s="304">
        <f t="shared" ca="1" si="319"/>
        <v>809.67446155573691</v>
      </c>
      <c r="M761" s="306">
        <f t="shared" ca="1" si="335"/>
        <v>-1.5564920417124402</v>
      </c>
      <c r="N761" s="304">
        <f t="shared" ca="1" si="336"/>
        <v>-89.180424835823302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1.7842999999999964</v>
      </c>
      <c r="T761" s="304">
        <f t="shared" ca="1" si="320"/>
        <v>17.503982999999966</v>
      </c>
      <c r="U761" s="311">
        <f t="shared" ca="1" si="321"/>
        <v>0</v>
      </c>
      <c r="V761" s="306">
        <f t="shared" ca="1" si="322"/>
        <v>1.2258438280821033</v>
      </c>
      <c r="W761" s="304">
        <f t="shared" ca="1" si="323"/>
        <v>18.359362588517328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-0.48039436630863896</v>
      </c>
      <c r="AH761" s="304">
        <f t="shared" ca="1" si="347"/>
        <v>-10.289390740116094</v>
      </c>
    </row>
    <row r="762" spans="1:34" x14ac:dyDescent="0.2">
      <c r="A762" s="347">
        <f t="shared" ca="1" si="325"/>
        <v>1E-4</v>
      </c>
      <c r="B762" s="304">
        <f t="shared" ca="1" si="326"/>
        <v>58.010500000000889</v>
      </c>
      <c r="D762" s="306">
        <f t="shared" ca="1" si="327"/>
        <v>-0.14717738086702298</v>
      </c>
      <c r="E762" s="307">
        <f t="shared" ca="1" si="328"/>
        <v>0.47833959667464399</v>
      </c>
      <c r="F762" s="304">
        <f t="shared" ca="1" si="329"/>
        <v>0.5004697305389586</v>
      </c>
      <c r="G762" s="306">
        <f t="shared" ca="1" si="330"/>
        <v>1.5108621120642793</v>
      </c>
      <c r="H762" s="307">
        <f t="shared" ca="1" si="331"/>
        <v>-105.61681952827811</v>
      </c>
      <c r="I762" s="304">
        <f t="shared" ca="1" si="332"/>
        <v>105.62762551335962</v>
      </c>
      <c r="J762" s="306">
        <f t="shared" ca="1" si="333"/>
        <v>809.6451793302748</v>
      </c>
      <c r="K762" s="307">
        <f t="shared" ca="1" si="334"/>
        <v>-6.8965825105964811</v>
      </c>
      <c r="L762" s="304">
        <f t="shared" ca="1" si="319"/>
        <v>809.6745514483448</v>
      </c>
      <c r="M762" s="306">
        <f t="shared" ca="1" si="335"/>
        <v>-1.5564921745567133</v>
      </c>
      <c r="N762" s="304">
        <f t="shared" ca="1" si="336"/>
        <v>-89.180432447239482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1.7842999999999964</v>
      </c>
      <c r="T762" s="304">
        <f t="shared" ca="1" si="320"/>
        <v>17.503982999999966</v>
      </c>
      <c r="U762" s="311">
        <f t="shared" ca="1" si="321"/>
        <v>0</v>
      </c>
      <c r="V762" s="306">
        <f t="shared" ca="1" si="322"/>
        <v>1.2258451227804974</v>
      </c>
      <c r="W762" s="304">
        <f t="shared" ca="1" si="323"/>
        <v>18.359365279377787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-0.48039585578187349</v>
      </c>
      <c r="AH762" s="304">
        <f t="shared" ca="1" si="347"/>
        <v>-10.289392248230323</v>
      </c>
    </row>
    <row r="763" spans="1:34" x14ac:dyDescent="0.2">
      <c r="A763" s="347">
        <f t="shared" ca="1" si="325"/>
        <v>1E-4</v>
      </c>
      <c r="B763" s="304">
        <f t="shared" ca="1" si="326"/>
        <v>58.010600000000892</v>
      </c>
      <c r="D763" s="306">
        <f t="shared" ca="1" si="327"/>
        <v>-0.14717603569104287</v>
      </c>
      <c r="E763" s="307">
        <f t="shared" ca="1" si="328"/>
        <v>0.47834112414819963</v>
      </c>
      <c r="F763" s="304">
        <f t="shared" ca="1" si="329"/>
        <v>0.50047079488527046</v>
      </c>
      <c r="G763" s="306">
        <f t="shared" ca="1" si="330"/>
        <v>1.5108473944607101</v>
      </c>
      <c r="H763" s="307">
        <f t="shared" ca="1" si="331"/>
        <v>-105.61677169416571</v>
      </c>
      <c r="I763" s="304">
        <f t="shared" ca="1" si="332"/>
        <v>105.62757747362603</v>
      </c>
      <c r="J763" s="306">
        <f t="shared" ca="1" si="333"/>
        <v>809.6451793302748</v>
      </c>
      <c r="K763" s="307">
        <f t="shared" ca="1" si="334"/>
        <v>-6.9071441901576032</v>
      </c>
      <c r="L763" s="304">
        <f t="shared" ca="1" si="319"/>
        <v>809.67464147867224</v>
      </c>
      <c r="M763" s="306">
        <f t="shared" ca="1" si="335"/>
        <v>-1.5564923073998131</v>
      </c>
      <c r="N763" s="304">
        <f t="shared" ca="1" si="336"/>
        <v>-89.180440058588445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1.7842999999999964</v>
      </c>
      <c r="T763" s="304">
        <f t="shared" ca="1" si="320"/>
        <v>17.503982999999966</v>
      </c>
      <c r="U763" s="311">
        <f t="shared" ca="1" si="321"/>
        <v>0</v>
      </c>
      <c r="V763" s="306">
        <f t="shared" ca="1" si="322"/>
        <v>1.2258464174796733</v>
      </c>
      <c r="W763" s="304">
        <f t="shared" ca="1" si="323"/>
        <v>18.359367970170506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-0.48039734521747413</v>
      </c>
      <c r="AH763" s="304">
        <f t="shared" ca="1" si="347"/>
        <v>-10.289393756306577</v>
      </c>
    </row>
    <row r="764" spans="1:34" x14ac:dyDescent="0.2">
      <c r="A764" s="347">
        <f t="shared" ca="1" si="325"/>
        <v>1E-4</v>
      </c>
      <c r="B764" s="304">
        <f t="shared" ca="1" si="326"/>
        <v>58.010700000000895</v>
      </c>
      <c r="D764" s="306">
        <f t="shared" ca="1" si="327"/>
        <v>-0.14717469052618762</v>
      </c>
      <c r="E764" s="307">
        <f t="shared" ca="1" si="328"/>
        <v>0.47834265158344458</v>
      </c>
      <c r="F764" s="304">
        <f t="shared" ca="1" si="329"/>
        <v>0.50047185920425108</v>
      </c>
      <c r="G764" s="306">
        <f t="shared" ca="1" si="330"/>
        <v>1.5108326769916576</v>
      </c>
      <c r="H764" s="307">
        <f t="shared" ca="1" si="331"/>
        <v>-105.61672385990055</v>
      </c>
      <c r="I764" s="304">
        <f t="shared" ca="1" si="332"/>
        <v>105.6275294337435</v>
      </c>
      <c r="J764" s="306">
        <f t="shared" ca="1" si="333"/>
        <v>809.6451793302748</v>
      </c>
      <c r="K764" s="307">
        <f t="shared" ca="1" si="334"/>
        <v>-6.9177058649353063</v>
      </c>
      <c r="L764" s="304">
        <f t="shared" ca="1" si="319"/>
        <v>809.67473164671912</v>
      </c>
      <c r="M764" s="306">
        <f t="shared" ca="1" si="335"/>
        <v>-1.5564924402417399</v>
      </c>
      <c r="N764" s="304">
        <f t="shared" ca="1" si="336"/>
        <v>-89.18044766987019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1.7842999999999964</v>
      </c>
      <c r="T764" s="304">
        <f t="shared" ca="1" si="320"/>
        <v>17.503982999999966</v>
      </c>
      <c r="U764" s="311">
        <f t="shared" ca="1" si="321"/>
        <v>0</v>
      </c>
      <c r="V764" s="306">
        <f t="shared" ca="1" si="322"/>
        <v>1.2258477121796305</v>
      </c>
      <c r="W764" s="304">
        <f t="shared" ca="1" si="323"/>
        <v>18.359370660895468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 t="e">
        <f t="shared" ca="1" si="344"/>
        <v>#N/A</v>
      </c>
      <c r="AD764" s="323" t="e">
        <f t="shared" ca="1" si="345"/>
        <v>#N/A</v>
      </c>
      <c r="AE764" s="324" t="e">
        <f t="shared" ca="1" si="324"/>
        <v>#N/A</v>
      </c>
      <c r="AG764" s="306">
        <f t="shared" ca="1" si="346"/>
        <v>-0.48039883461544441</v>
      </c>
      <c r="AH764" s="304">
        <f t="shared" ca="1" si="347"/>
        <v>-10.289395264344865</v>
      </c>
    </row>
    <row r="765" spans="1:34" x14ac:dyDescent="0.2">
      <c r="A765" s="347">
        <f t="shared" ca="1" si="325"/>
        <v>1E-4</v>
      </c>
      <c r="B765" s="304">
        <f t="shared" ca="1" si="326"/>
        <v>58.010800000000899</v>
      </c>
      <c r="D765" s="306">
        <f t="shared" ca="1" si="327"/>
        <v>-0.14717334537245488</v>
      </c>
      <c r="E765" s="307">
        <f t="shared" ca="1" si="328"/>
        <v>0.47834417898036996</v>
      </c>
      <c r="F765" s="304">
        <f t="shared" ca="1" si="329"/>
        <v>0.50047292349589112</v>
      </c>
      <c r="G765" s="306">
        <f t="shared" ca="1" si="330"/>
        <v>1.5108179596571203</v>
      </c>
      <c r="H765" s="307">
        <f t="shared" ca="1" si="331"/>
        <v>-105.61667602548265</v>
      </c>
      <c r="I765" s="304">
        <f t="shared" ca="1" si="332"/>
        <v>105.62748139371203</v>
      </c>
      <c r="J765" s="306">
        <f t="shared" ca="1" si="333"/>
        <v>809.6451793302748</v>
      </c>
      <c r="K765" s="307">
        <f t="shared" ca="1" si="334"/>
        <v>-6.9282675349295753</v>
      </c>
      <c r="L765" s="304">
        <f t="shared" ca="1" si="319"/>
        <v>809.6748219524851</v>
      </c>
      <c r="M765" s="306">
        <f t="shared" ca="1" si="335"/>
        <v>-1.5564925730824932</v>
      </c>
      <c r="N765" s="304">
        <f t="shared" ca="1" si="336"/>
        <v>-89.180455281084704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1.7842999999999964</v>
      </c>
      <c r="T765" s="304">
        <f t="shared" ca="1" si="320"/>
        <v>17.503982999999966</v>
      </c>
      <c r="U765" s="311">
        <f t="shared" ca="1" si="321"/>
        <v>0</v>
      </c>
      <c r="V765" s="306">
        <f t="shared" ca="1" si="322"/>
        <v>1.2258490068803694</v>
      </c>
      <c r="W765" s="304">
        <f t="shared" ca="1" si="323"/>
        <v>18.35937335155268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-0.48040032397577903</v>
      </c>
      <c r="AH765" s="304">
        <f t="shared" ca="1" si="347"/>
        <v>-10.28939677234518</v>
      </c>
    </row>
    <row r="766" spans="1:34" x14ac:dyDescent="0.2">
      <c r="A766" s="347">
        <f t="shared" ca="1" si="325"/>
        <v>1E-4</v>
      </c>
      <c r="B766" s="304">
        <f t="shared" ca="1" si="326"/>
        <v>58.010900000000902</v>
      </c>
      <c r="D766" s="306">
        <f t="shared" ca="1" si="327"/>
        <v>-0.14717200022984928</v>
      </c>
      <c r="E766" s="307">
        <f t="shared" ca="1" si="328"/>
        <v>0.47834570633898288</v>
      </c>
      <c r="F766" s="304">
        <f t="shared" ca="1" si="329"/>
        <v>0.50047398776019836</v>
      </c>
      <c r="G766" s="306">
        <f t="shared" ca="1" si="330"/>
        <v>1.5108032424570974</v>
      </c>
      <c r="H766" s="307">
        <f t="shared" ca="1" si="331"/>
        <v>-105.61662819091201</v>
      </c>
      <c r="I766" s="304">
        <f t="shared" ca="1" si="332"/>
        <v>105.62743335353164</v>
      </c>
      <c r="J766" s="306">
        <f t="shared" ca="1" si="333"/>
        <v>809.6451793302748</v>
      </c>
      <c r="K766" s="307">
        <f t="shared" ca="1" si="334"/>
        <v>-6.9388292001403951</v>
      </c>
      <c r="L766" s="304">
        <f t="shared" ca="1" si="319"/>
        <v>809.67491239596984</v>
      </c>
      <c r="M766" s="306">
        <f t="shared" ca="1" si="335"/>
        <v>-1.5564927059220737</v>
      </c>
      <c r="N766" s="304">
        <f t="shared" ca="1" si="336"/>
        <v>-89.180462892232015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1.7842999999999964</v>
      </c>
      <c r="T766" s="304">
        <f t="shared" ca="1" si="320"/>
        <v>17.503982999999966</v>
      </c>
      <c r="U766" s="311">
        <f t="shared" ca="1" si="321"/>
        <v>0</v>
      </c>
      <c r="V766" s="306">
        <f t="shared" ca="1" si="322"/>
        <v>1.2258503015818898</v>
      </c>
      <c r="W766" s="304">
        <f t="shared" ca="1" si="323"/>
        <v>18.359376042142149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-0.48040181329848153</v>
      </c>
      <c r="AH766" s="304">
        <f t="shared" ca="1" si="347"/>
        <v>-10.289398280307525</v>
      </c>
    </row>
    <row r="767" spans="1:34" x14ac:dyDescent="0.2">
      <c r="A767" s="347">
        <f t="shared" ca="1" si="325"/>
        <v>1E-4</v>
      </c>
      <c r="B767" s="304">
        <f t="shared" ca="1" si="326"/>
        <v>58.011000000000905</v>
      </c>
      <c r="D767" s="306">
        <f t="shared" ca="1" si="327"/>
        <v>-0.14717065509836399</v>
      </c>
      <c r="E767" s="307">
        <f t="shared" ca="1" si="328"/>
        <v>0.47834723365928511</v>
      </c>
      <c r="F767" s="304">
        <f t="shared" ca="1" si="329"/>
        <v>0.50047505199717235</v>
      </c>
      <c r="G767" s="306">
        <f t="shared" ca="1" si="330"/>
        <v>1.5107885253915876</v>
      </c>
      <c r="H767" s="307">
        <f t="shared" ca="1" si="331"/>
        <v>-105.61658035618865</v>
      </c>
      <c r="I767" s="304">
        <f t="shared" ca="1" si="332"/>
        <v>105.62738531320232</v>
      </c>
      <c r="J767" s="306">
        <f t="shared" ca="1" si="333"/>
        <v>809.6451793302748</v>
      </c>
      <c r="K767" s="307">
        <f t="shared" ca="1" si="334"/>
        <v>-6.9493908605677497</v>
      </c>
      <c r="L767" s="304">
        <f t="shared" ca="1" si="319"/>
        <v>809.67500297717345</v>
      </c>
      <c r="M767" s="306">
        <f t="shared" ca="1" si="335"/>
        <v>-1.5564928387604806</v>
      </c>
      <c r="N767" s="304">
        <f t="shared" ca="1" si="336"/>
        <v>-89.180470503312094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1.7842999999999964</v>
      </c>
      <c r="T767" s="304">
        <f t="shared" ca="1" si="320"/>
        <v>17.503982999999966</v>
      </c>
      <c r="U767" s="311">
        <f t="shared" ca="1" si="321"/>
        <v>0</v>
      </c>
      <c r="V767" s="306">
        <f t="shared" ca="1" si="322"/>
        <v>1.2258515962841916</v>
      </c>
      <c r="W767" s="304">
        <f t="shared" ca="1" si="323"/>
        <v>18.35937873266387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-0.48040330258355723</v>
      </c>
      <c r="AH767" s="304">
        <f t="shared" ca="1" si="347"/>
        <v>-10.289399788231904</v>
      </c>
    </row>
    <row r="768" spans="1:34" x14ac:dyDescent="0.2">
      <c r="A768" s="347">
        <f t="shared" ca="1" si="325"/>
        <v>1E-4</v>
      </c>
      <c r="B768" s="304">
        <f t="shared" ca="1" si="326"/>
        <v>58.011100000000908</v>
      </c>
      <c r="D768" s="306">
        <f t="shared" ca="1" si="327"/>
        <v>-0.14716930997800592</v>
      </c>
      <c r="E768" s="307">
        <f t="shared" ca="1" si="328"/>
        <v>0.4783487609412731</v>
      </c>
      <c r="F768" s="304">
        <f t="shared" ca="1" si="329"/>
        <v>0.50047611620681121</v>
      </c>
      <c r="G768" s="306">
        <f t="shared" ca="1" si="330"/>
        <v>1.5107738084605897</v>
      </c>
      <c r="H768" s="307">
        <f t="shared" ca="1" si="331"/>
        <v>-105.61653252131255</v>
      </c>
      <c r="I768" s="304">
        <f t="shared" ca="1" si="332"/>
        <v>105.62733727272406</v>
      </c>
      <c r="J768" s="306">
        <f t="shared" ca="1" si="333"/>
        <v>809.6451793302748</v>
      </c>
      <c r="K768" s="307">
        <f t="shared" ca="1" si="334"/>
        <v>-6.9599525162116249</v>
      </c>
      <c r="L768" s="304">
        <f t="shared" ca="1" si="319"/>
        <v>809.67509369609536</v>
      </c>
      <c r="M768" s="306">
        <f t="shared" ca="1" si="335"/>
        <v>-1.5564929715977145</v>
      </c>
      <c r="N768" s="304">
        <f t="shared" ca="1" si="336"/>
        <v>-89.180478114324956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1.7842999999999964</v>
      </c>
      <c r="T768" s="304">
        <f t="shared" ca="1" si="320"/>
        <v>17.503982999999966</v>
      </c>
      <c r="U768" s="311">
        <f t="shared" ca="1" si="321"/>
        <v>0</v>
      </c>
      <c r="V768" s="306">
        <f t="shared" ca="1" si="322"/>
        <v>1.2258528909872748</v>
      </c>
      <c r="W768" s="304">
        <f t="shared" ca="1" si="323"/>
        <v>18.359381423117838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-0.48040479183100082</v>
      </c>
      <c r="AH768" s="304">
        <f t="shared" ca="1" si="347"/>
        <v>-10.289401296118314</v>
      </c>
    </row>
    <row r="769" spans="1:34" x14ac:dyDescent="0.2">
      <c r="A769" s="347">
        <f t="shared" ca="1" si="325"/>
        <v>1E-4</v>
      </c>
      <c r="B769" s="304">
        <f t="shared" ca="1" si="326"/>
        <v>58.011200000000912</v>
      </c>
      <c r="D769" s="306">
        <f t="shared" ca="1" si="327"/>
        <v>-0.14716796486877043</v>
      </c>
      <c r="E769" s="307">
        <f t="shared" ca="1" si="328"/>
        <v>0.47835028818494507</v>
      </c>
      <c r="F769" s="304">
        <f t="shared" ca="1" si="329"/>
        <v>0.50047718038911193</v>
      </c>
      <c r="G769" s="306">
        <f t="shared" ca="1" si="330"/>
        <v>1.5107590916641029</v>
      </c>
      <c r="H769" s="307">
        <f t="shared" ca="1" si="331"/>
        <v>-105.61648468628373</v>
      </c>
      <c r="I769" s="304">
        <f t="shared" ca="1" si="332"/>
        <v>105.62728923209689</v>
      </c>
      <c r="J769" s="306">
        <f t="shared" ca="1" si="333"/>
        <v>809.6451793302748</v>
      </c>
      <c r="K769" s="307">
        <f t="shared" ca="1" si="334"/>
        <v>-6.9705141670720048</v>
      </c>
      <c r="L769" s="304">
        <f t="shared" ca="1" si="319"/>
        <v>809.67518455273546</v>
      </c>
      <c r="M769" s="306">
        <f t="shared" ca="1" si="335"/>
        <v>-1.5564931044337753</v>
      </c>
      <c r="N769" s="304">
        <f t="shared" ca="1" si="336"/>
        <v>-89.180485725270614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1.7842999999999964</v>
      </c>
      <c r="T769" s="304">
        <f t="shared" ca="1" si="320"/>
        <v>17.503982999999966</v>
      </c>
      <c r="U769" s="311">
        <f t="shared" ca="1" si="321"/>
        <v>0</v>
      </c>
      <c r="V769" s="306">
        <f t="shared" ca="1" si="322"/>
        <v>1.2258541856911394</v>
      </c>
      <c r="W769" s="304">
        <f t="shared" ca="1" si="323"/>
        <v>18.35938411350406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-0.48040628104080874</v>
      </c>
      <c r="AH769" s="304">
        <f t="shared" ca="1" si="347"/>
        <v>-10.289402803966752</v>
      </c>
    </row>
    <row r="770" spans="1:34" x14ac:dyDescent="0.2">
      <c r="A770" s="347">
        <f t="shared" ca="1" si="325"/>
        <v>1E-4</v>
      </c>
      <c r="B770" s="304">
        <f t="shared" ca="1" si="326"/>
        <v>58.011300000000915</v>
      </c>
      <c r="D770" s="306">
        <f t="shared" ca="1" si="327"/>
        <v>-0.14716661977065762</v>
      </c>
      <c r="E770" s="307">
        <f t="shared" ca="1" si="328"/>
        <v>0.47835181539030458</v>
      </c>
      <c r="F770" s="304">
        <f t="shared" ca="1" si="329"/>
        <v>0.50047824454407741</v>
      </c>
      <c r="G770" s="306">
        <f t="shared" ca="1" si="330"/>
        <v>1.5107443750021259</v>
      </c>
      <c r="H770" s="307">
        <f t="shared" ca="1" si="331"/>
        <v>-105.61643685110219</v>
      </c>
      <c r="I770" s="304">
        <f t="shared" ca="1" si="332"/>
        <v>105.62724119132081</v>
      </c>
      <c r="J770" s="306">
        <f t="shared" ca="1" si="333"/>
        <v>809.6451793302748</v>
      </c>
      <c r="K770" s="307">
        <f t="shared" ca="1" si="334"/>
        <v>-6.9810758131488742</v>
      </c>
      <c r="L770" s="304">
        <f t="shared" ca="1" si="319"/>
        <v>809.67527554709352</v>
      </c>
      <c r="M770" s="306">
        <f t="shared" ca="1" si="335"/>
        <v>-1.5564932372686628</v>
      </c>
      <c r="N770" s="304">
        <f t="shared" ca="1" si="336"/>
        <v>-89.180493336149041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1.7842999999999964</v>
      </c>
      <c r="T770" s="304">
        <f t="shared" ca="1" si="320"/>
        <v>17.503982999999966</v>
      </c>
      <c r="U770" s="311">
        <f t="shared" ca="1" si="321"/>
        <v>0</v>
      </c>
      <c r="V770" s="306">
        <f t="shared" ca="1" si="322"/>
        <v>1.225855480395786</v>
      </c>
      <c r="W770" s="304">
        <f t="shared" ca="1" si="323"/>
        <v>18.359386803822549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-0.48040777021298808</v>
      </c>
      <c r="AH770" s="304">
        <f t="shared" ca="1" si="347"/>
        <v>-10.289404311777222</v>
      </c>
    </row>
    <row r="771" spans="1:34" x14ac:dyDescent="0.2">
      <c r="A771" s="347">
        <f t="shared" ca="1" si="325"/>
        <v>1E-4</v>
      </c>
      <c r="B771" s="304">
        <f t="shared" ca="1" si="326"/>
        <v>58.011400000000918</v>
      </c>
      <c r="D771" s="306">
        <f t="shared" ca="1" si="327"/>
        <v>-0.14716527468366988</v>
      </c>
      <c r="E771" s="307">
        <f t="shared" ca="1" si="328"/>
        <v>0.47835334255735873</v>
      </c>
      <c r="F771" s="304">
        <f t="shared" ca="1" si="329"/>
        <v>0.50047930867171497</v>
      </c>
      <c r="G771" s="306">
        <f t="shared" ca="1" si="330"/>
        <v>1.5107296584746575</v>
      </c>
      <c r="H771" s="307">
        <f t="shared" ca="1" si="331"/>
        <v>-105.61638901576794</v>
      </c>
      <c r="I771" s="304">
        <f t="shared" ca="1" si="332"/>
        <v>105.6271931503958</v>
      </c>
      <c r="J771" s="306">
        <f t="shared" ca="1" si="333"/>
        <v>809.6451793302748</v>
      </c>
      <c r="K771" s="307">
        <f t="shared" ca="1" si="334"/>
        <v>-6.991637454442218</v>
      </c>
      <c r="L771" s="304">
        <f t="shared" ca="1" si="319"/>
        <v>809.67536667916931</v>
      </c>
      <c r="M771" s="306">
        <f t="shared" ca="1" si="335"/>
        <v>-1.5564933701023773</v>
      </c>
      <c r="N771" s="304">
        <f t="shared" ca="1" si="336"/>
        <v>-89.180500946960251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1.7842999999999964</v>
      </c>
      <c r="T771" s="304">
        <f t="shared" ca="1" si="320"/>
        <v>17.503982999999966</v>
      </c>
      <c r="U771" s="311">
        <f t="shared" ca="1" si="321"/>
        <v>0</v>
      </c>
      <c r="V771" s="306">
        <f t="shared" ca="1" si="322"/>
        <v>1.2258567751012135</v>
      </c>
      <c r="W771" s="304">
        <f t="shared" ca="1" si="323"/>
        <v>18.359389494073284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-0.48040925934754242</v>
      </c>
      <c r="AH771" s="304">
        <f t="shared" ca="1" si="347"/>
        <v>-10.289405819549732</v>
      </c>
    </row>
    <row r="772" spans="1:34" x14ac:dyDescent="0.2">
      <c r="A772" s="347">
        <f t="shared" ca="1" si="325"/>
        <v>1E-4</v>
      </c>
      <c r="B772" s="304">
        <f t="shared" ca="1" si="326"/>
        <v>58.011500000000922</v>
      </c>
      <c r="D772" s="306">
        <f t="shared" ca="1" si="327"/>
        <v>-0.14716392960780481</v>
      </c>
      <c r="E772" s="307">
        <f t="shared" ca="1" si="328"/>
        <v>0.47835486968609331</v>
      </c>
      <c r="F772" s="304">
        <f t="shared" ca="1" si="329"/>
        <v>0.50048037277201018</v>
      </c>
      <c r="G772" s="306">
        <f t="shared" ca="1" si="330"/>
        <v>1.5107149420816968</v>
      </c>
      <c r="H772" s="307">
        <f t="shared" ca="1" si="331"/>
        <v>-105.61634118028097</v>
      </c>
      <c r="I772" s="304">
        <f t="shared" ca="1" si="332"/>
        <v>105.62714510932189</v>
      </c>
      <c r="J772" s="306">
        <f t="shared" ca="1" si="333"/>
        <v>809.6451793302748</v>
      </c>
      <c r="K772" s="307">
        <f t="shared" ca="1" si="334"/>
        <v>-7.0021990909520202</v>
      </c>
      <c r="L772" s="304">
        <f t="shared" ref="L772:L835" ca="1" si="348">SQRT(pos_x^2+pos_z^2)</f>
        <v>809.6754579489625</v>
      </c>
      <c r="M772" s="306">
        <f t="shared" ca="1" si="335"/>
        <v>-1.5564935029349187</v>
      </c>
      <c r="N772" s="304">
        <f t="shared" ca="1" si="336"/>
        <v>-89.180508557704258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1.7842999999999964</v>
      </c>
      <c r="T772" s="304">
        <f t="shared" ref="T772:T835" ca="1" si="349">m*g</f>
        <v>17.503982999999966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1.2258580698074231</v>
      </c>
      <c r="W772" s="304">
        <f t="shared" ref="W772:W835" ca="1" si="352">1/2*Rho*Sref*Cx*vit_xz^2</f>
        <v>18.359392184256283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-0.48041074844446463</v>
      </c>
      <c r="AH772" s="304">
        <f t="shared" ca="1" si="347"/>
        <v>-10.289407327284268</v>
      </c>
    </row>
    <row r="773" spans="1:34" x14ac:dyDescent="0.2">
      <c r="A773" s="347">
        <f t="shared" ref="A773:A836" ca="1" si="354">IF(B772+0.01&lt;=T_ini+ROUNDUP(Temps_fin_propu,0), 0.01, IF(K772&gt;0, 0.1, 0.0001))</f>
        <v>1E-4</v>
      </c>
      <c r="B773" s="304">
        <f t="shared" ref="B773:B836" ca="1" si="355">B772+pas</f>
        <v>58.011600000000925</v>
      </c>
      <c r="D773" s="306">
        <f t="shared" ref="D773:D836" ca="1" si="356">IF(AND(L772&lt;L_rampe,Poussee&lt;Poids*SIN(M772)),0,(-W772+Poussee)/m*COS(M772)-U772/m*SIN(M772))</f>
        <v>-0.14716258454306255</v>
      </c>
      <c r="E773" s="307">
        <f t="shared" ref="E773:E836" ca="1" si="357">IF(AND(L772&lt;L_rampe,Poussee&lt;Poids*SIN(M772)),0,(-W772+Poussee)/m*SIN(M772)+U772/m*COS(M772)-Poids/m)</f>
        <v>0.47835639677652431</v>
      </c>
      <c r="F773" s="304">
        <f t="shared" ref="F773:F836" ca="1" si="358">SQRT(acc_x^2+acc_z^2)</f>
        <v>0.50048143684497792</v>
      </c>
      <c r="G773" s="306">
        <f t="shared" ref="G773:G836" ca="1" si="359">G772+acc_x*pas</f>
        <v>1.5107002258232425</v>
      </c>
      <c r="H773" s="307">
        <f t="shared" ref="H773:H836" ca="1" si="360">H772+acc_z*pas</f>
        <v>-105.61629334464129</v>
      </c>
      <c r="I773" s="304">
        <f t="shared" ref="I773:I836" ca="1" si="361">SQRT(vit_x^2+vit_z^2)</f>
        <v>105.62709706809908</v>
      </c>
      <c r="J773" s="306">
        <f t="shared" ref="J773:J836" ca="1" si="362">J772+0.5*(vit_x+G772)*pas*(K772&gt;=0)</f>
        <v>809.6451793302748</v>
      </c>
      <c r="K773" s="307">
        <f t="shared" ref="K773:K836" ca="1" si="363">K772+0.5*(vit_z+H772)*pas</f>
        <v>-7.0127607226782667</v>
      </c>
      <c r="L773" s="304">
        <f t="shared" ca="1" si="348"/>
        <v>809.67554935647297</v>
      </c>
      <c r="M773" s="306">
        <f t="shared" ref="M773:M836" ca="1" si="364">IF(AND(L772&gt;L_rampe,G773&gt;0),ATAN2(G773,H773),$M$4)</f>
        <v>-1.5564936357662869</v>
      </c>
      <c r="N773" s="304">
        <f t="shared" ref="N773:N836" ca="1" si="365">DEGREES(Beta)</f>
        <v>-89.180516168381033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1.7842999999999964</v>
      </c>
      <c r="T773" s="304">
        <f t="shared" ca="1" si="349"/>
        <v>17.503982999999966</v>
      </c>
      <c r="U773" s="311">
        <f t="shared" ca="1" si="350"/>
        <v>0</v>
      </c>
      <c r="V773" s="306">
        <f t="shared" ca="1" si="351"/>
        <v>1.2258593645144138</v>
      </c>
      <c r="W773" s="304">
        <f t="shared" ca="1" si="352"/>
        <v>18.359394874371546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-0.48041223750376183</v>
      </c>
      <c r="AH773" s="304">
        <f t="shared" ref="AH773:AH836" ca="1" si="376">IF(AND(L772&lt;L_rampe,Poussee&lt;Poids*SIN(M772)), g*SIN(M772), (-W772+Poussee)/m)</f>
        <v>-10.289408834980843</v>
      </c>
    </row>
    <row r="774" spans="1:34" x14ac:dyDescent="0.2">
      <c r="A774" s="347">
        <f t="shared" ca="1" si="354"/>
        <v>1E-4</v>
      </c>
      <c r="B774" s="304">
        <f t="shared" ca="1" si="355"/>
        <v>58.011700000000928</v>
      </c>
      <c r="D774" s="306">
        <f t="shared" ca="1" si="356"/>
        <v>-0.14716123948944543</v>
      </c>
      <c r="E774" s="307">
        <f t="shared" ca="1" si="357"/>
        <v>0.47835792382864817</v>
      </c>
      <c r="F774" s="304">
        <f t="shared" ca="1" si="358"/>
        <v>0.50048250089061519</v>
      </c>
      <c r="G774" s="306">
        <f t="shared" ca="1" si="359"/>
        <v>1.5106855096992935</v>
      </c>
      <c r="H774" s="307">
        <f t="shared" ca="1" si="360"/>
        <v>-105.61624550884891</v>
      </c>
      <c r="I774" s="304">
        <f t="shared" ca="1" si="361"/>
        <v>105.62704902672733</v>
      </c>
      <c r="J774" s="306">
        <f t="shared" ca="1" si="362"/>
        <v>809.6451793302748</v>
      </c>
      <c r="K774" s="307">
        <f t="shared" ca="1" si="363"/>
        <v>-7.0233223496209414</v>
      </c>
      <c r="L774" s="304">
        <f t="shared" ca="1" si="348"/>
        <v>809.67564090170049</v>
      </c>
      <c r="M774" s="306">
        <f t="shared" ca="1" si="364"/>
        <v>-1.5564937685964819</v>
      </c>
      <c r="N774" s="304">
        <f t="shared" ca="1" si="365"/>
        <v>-89.180523778990604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1.7842999999999964</v>
      </c>
      <c r="T774" s="304">
        <f t="shared" ca="1" si="349"/>
        <v>17.503982999999966</v>
      </c>
      <c r="U774" s="311">
        <f t="shared" ca="1" si="350"/>
        <v>0</v>
      </c>
      <c r="V774" s="306">
        <f t="shared" ca="1" si="351"/>
        <v>1.2258606592221861</v>
      </c>
      <c r="W774" s="304">
        <f t="shared" ca="1" si="352"/>
        <v>18.359397564419055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 t="e">
        <f t="shared" ca="1" si="373"/>
        <v>#N/A</v>
      </c>
      <c r="AD774" s="323" t="e">
        <f t="shared" ca="1" si="374"/>
        <v>#N/A</v>
      </c>
      <c r="AE774" s="324" t="e">
        <f t="shared" ca="1" si="353"/>
        <v>#N/A</v>
      </c>
      <c r="AG774" s="306">
        <f t="shared" ca="1" si="375"/>
        <v>-0.48041372652543402</v>
      </c>
      <c r="AH774" s="304">
        <f t="shared" ca="1" si="376"/>
        <v>-10.289410342639457</v>
      </c>
    </row>
    <row r="775" spans="1:34" x14ac:dyDescent="0.2">
      <c r="A775" s="347">
        <f t="shared" ca="1" si="354"/>
        <v>1E-4</v>
      </c>
      <c r="B775" s="304">
        <f t="shared" ca="1" si="355"/>
        <v>58.011800000000932</v>
      </c>
      <c r="D775" s="306">
        <f t="shared" ca="1" si="356"/>
        <v>-0.14715989444695102</v>
      </c>
      <c r="E775" s="307">
        <f t="shared" ca="1" si="357"/>
        <v>0.47835945084245424</v>
      </c>
      <c r="F775" s="304">
        <f t="shared" ca="1" si="358"/>
        <v>0.50048356490891099</v>
      </c>
      <c r="G775" s="306">
        <f t="shared" ca="1" si="359"/>
        <v>1.5106707937098487</v>
      </c>
      <c r="H775" s="307">
        <f t="shared" ca="1" si="360"/>
        <v>-105.61619767290382</v>
      </c>
      <c r="I775" s="304">
        <f t="shared" ca="1" si="361"/>
        <v>105.62700098520672</v>
      </c>
      <c r="J775" s="306">
        <f t="shared" ca="1" si="362"/>
        <v>809.6451793302748</v>
      </c>
      <c r="K775" s="307">
        <f t="shared" ca="1" si="363"/>
        <v>-7.0338839717800292</v>
      </c>
      <c r="L775" s="304">
        <f t="shared" ca="1" si="348"/>
        <v>809.67573258464483</v>
      </c>
      <c r="M775" s="306">
        <f t="shared" ca="1" si="364"/>
        <v>-1.5564939014255039</v>
      </c>
      <c r="N775" s="304">
        <f t="shared" ca="1" si="365"/>
        <v>-89.180531389532959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1.7842999999999964</v>
      </c>
      <c r="T775" s="304">
        <f t="shared" ca="1" si="349"/>
        <v>17.503982999999966</v>
      </c>
      <c r="U775" s="311">
        <f t="shared" ca="1" si="350"/>
        <v>0</v>
      </c>
      <c r="V775" s="306">
        <f t="shared" ca="1" si="351"/>
        <v>1.22586195393074</v>
      </c>
      <c r="W775" s="304">
        <f t="shared" ca="1" si="352"/>
        <v>18.359400254398842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-0.48041521550947053</v>
      </c>
      <c r="AH775" s="304">
        <f t="shared" ca="1" si="376"/>
        <v>-10.289411850260096</v>
      </c>
    </row>
    <row r="776" spans="1:34" x14ac:dyDescent="0.2">
      <c r="A776" s="347">
        <f t="shared" ca="1" si="354"/>
        <v>1E-4</v>
      </c>
      <c r="B776" s="304">
        <f t="shared" ca="1" si="355"/>
        <v>58.011900000000935</v>
      </c>
      <c r="D776" s="306">
        <f t="shared" ca="1" si="356"/>
        <v>-0.1471585494155796</v>
      </c>
      <c r="E776" s="307">
        <f t="shared" ca="1" si="357"/>
        <v>0.47836097781796383</v>
      </c>
      <c r="F776" s="304">
        <f t="shared" ca="1" si="358"/>
        <v>0.50048462889988543</v>
      </c>
      <c r="G776" s="306">
        <f t="shared" ca="1" si="359"/>
        <v>1.5106560778549072</v>
      </c>
      <c r="H776" s="307">
        <f t="shared" ca="1" si="360"/>
        <v>-105.61614983680604</v>
      </c>
      <c r="I776" s="304">
        <f t="shared" ca="1" si="361"/>
        <v>105.62695294353722</v>
      </c>
      <c r="J776" s="306">
        <f t="shared" ca="1" si="362"/>
        <v>809.6451793302748</v>
      </c>
      <c r="K776" s="307">
        <f t="shared" ca="1" si="363"/>
        <v>-7.0444455891555151</v>
      </c>
      <c r="L776" s="304">
        <f t="shared" ca="1" si="348"/>
        <v>809.67582440530578</v>
      </c>
      <c r="M776" s="306">
        <f t="shared" ca="1" si="364"/>
        <v>-1.5564940342533526</v>
      </c>
      <c r="N776" s="304">
        <f t="shared" ca="1" si="365"/>
        <v>-89.180539000008096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1.7842999999999964</v>
      </c>
      <c r="T776" s="304">
        <f t="shared" ca="1" si="349"/>
        <v>17.503982999999966</v>
      </c>
      <c r="U776" s="311">
        <f t="shared" ca="1" si="350"/>
        <v>0</v>
      </c>
      <c r="V776" s="306">
        <f t="shared" ca="1" si="351"/>
        <v>1.2258632486400753</v>
      </c>
      <c r="W776" s="304">
        <f t="shared" ca="1" si="352"/>
        <v>18.359402944310887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-0.48041670445589446</v>
      </c>
      <c r="AH776" s="304">
        <f t="shared" ca="1" si="376"/>
        <v>-10.289413357842784</v>
      </c>
    </row>
    <row r="777" spans="1:34" x14ac:dyDescent="0.2">
      <c r="A777" s="347">
        <f t="shared" ca="1" si="354"/>
        <v>1E-4</v>
      </c>
      <c r="B777" s="304">
        <f t="shared" ca="1" si="355"/>
        <v>58.012000000000938</v>
      </c>
      <c r="D777" s="306">
        <f t="shared" ca="1" si="356"/>
        <v>-0.14715720439533328</v>
      </c>
      <c r="E777" s="307">
        <f t="shared" ca="1" si="357"/>
        <v>0.47836250475516273</v>
      </c>
      <c r="F777" s="304">
        <f t="shared" ca="1" si="358"/>
        <v>0.50048569286352529</v>
      </c>
      <c r="G777" s="306">
        <f t="shared" ca="1" si="359"/>
        <v>1.5106413621344676</v>
      </c>
      <c r="H777" s="307">
        <f t="shared" ca="1" si="360"/>
        <v>-105.61610200055557</v>
      </c>
      <c r="I777" s="304">
        <f t="shared" ca="1" si="361"/>
        <v>105.6269049017188</v>
      </c>
      <c r="J777" s="306">
        <f t="shared" ca="1" si="362"/>
        <v>809.6451793302748</v>
      </c>
      <c r="K777" s="307">
        <f t="shared" ca="1" si="363"/>
        <v>-7.055007201747383</v>
      </c>
      <c r="L777" s="304">
        <f t="shared" ca="1" si="348"/>
        <v>809.67591636368286</v>
      </c>
      <c r="M777" s="306">
        <f t="shared" ca="1" si="364"/>
        <v>-1.5564941670800285</v>
      </c>
      <c r="N777" s="304">
        <f t="shared" ca="1" si="365"/>
        <v>-89.18054661041603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1.7842999999999964</v>
      </c>
      <c r="T777" s="304">
        <f t="shared" ca="1" si="349"/>
        <v>17.503982999999966</v>
      </c>
      <c r="U777" s="311">
        <f t="shared" ca="1" si="350"/>
        <v>0</v>
      </c>
      <c r="V777" s="306">
        <f t="shared" ca="1" si="351"/>
        <v>1.2258645433501922</v>
      </c>
      <c r="W777" s="304">
        <f t="shared" ca="1" si="352"/>
        <v>18.359405634155195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-0.4804181933646845</v>
      </c>
      <c r="AH777" s="304">
        <f t="shared" ca="1" si="376"/>
        <v>-10.289414865387505</v>
      </c>
    </row>
    <row r="778" spans="1:34" x14ac:dyDescent="0.2">
      <c r="A778" s="347">
        <f t="shared" ca="1" si="354"/>
        <v>1E-4</v>
      </c>
      <c r="B778" s="304">
        <f t="shared" ca="1" si="355"/>
        <v>58.012100000000942</v>
      </c>
      <c r="D778" s="306">
        <f t="shared" ca="1" si="356"/>
        <v>-0.14715585938620762</v>
      </c>
      <c r="E778" s="307">
        <f t="shared" ca="1" si="357"/>
        <v>0.47836403165405095</v>
      </c>
      <c r="F778" s="304">
        <f t="shared" ca="1" si="358"/>
        <v>0.50048675679982901</v>
      </c>
      <c r="G778" s="306">
        <f t="shared" ca="1" si="359"/>
        <v>1.510626646548529</v>
      </c>
      <c r="H778" s="307">
        <f t="shared" ca="1" si="360"/>
        <v>-105.6160541641524</v>
      </c>
      <c r="I778" s="304">
        <f t="shared" ca="1" si="361"/>
        <v>105.62685685975153</v>
      </c>
      <c r="J778" s="306">
        <f t="shared" ca="1" si="362"/>
        <v>809.6451793302748</v>
      </c>
      <c r="K778" s="307">
        <f t="shared" ca="1" si="363"/>
        <v>-7.0655688095556188</v>
      </c>
      <c r="L778" s="304">
        <f t="shared" ca="1" si="348"/>
        <v>809.67600845977609</v>
      </c>
      <c r="M778" s="306">
        <f t="shared" ca="1" si="364"/>
        <v>-1.5564942999055311</v>
      </c>
      <c r="N778" s="304">
        <f t="shared" ca="1" si="365"/>
        <v>-89.180554220756747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1.7842999999999964</v>
      </c>
      <c r="T778" s="304">
        <f t="shared" ca="1" si="349"/>
        <v>17.503982999999966</v>
      </c>
      <c r="U778" s="311">
        <f t="shared" ca="1" si="350"/>
        <v>0</v>
      </c>
      <c r="V778" s="306">
        <f t="shared" ca="1" si="351"/>
        <v>1.2258658380610905</v>
      </c>
      <c r="W778" s="304">
        <f t="shared" ca="1" si="352"/>
        <v>18.359408323931774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-0.48041968223585307</v>
      </c>
      <c r="AH778" s="304">
        <f t="shared" ca="1" si="376"/>
        <v>-10.289416372894262</v>
      </c>
    </row>
    <row r="779" spans="1:34" x14ac:dyDescent="0.2">
      <c r="A779" s="347">
        <f t="shared" ca="1" si="354"/>
        <v>1E-4</v>
      </c>
      <c r="B779" s="304">
        <f t="shared" ca="1" si="355"/>
        <v>58.012200000000945</v>
      </c>
      <c r="D779" s="306">
        <f t="shared" ca="1" si="356"/>
        <v>-0.14715451438820723</v>
      </c>
      <c r="E779" s="307">
        <f t="shared" ca="1" si="357"/>
        <v>0.47836555851463913</v>
      </c>
      <c r="F779" s="304">
        <f t="shared" ca="1" si="358"/>
        <v>0.50048782070880782</v>
      </c>
      <c r="G779" s="306">
        <f t="shared" ca="1" si="359"/>
        <v>1.5106119310970902</v>
      </c>
      <c r="H779" s="307">
        <f t="shared" ca="1" si="360"/>
        <v>-105.61600632759655</v>
      </c>
      <c r="I779" s="304">
        <f t="shared" ca="1" si="361"/>
        <v>105.62680881763535</v>
      </c>
      <c r="J779" s="306">
        <f t="shared" ca="1" si="362"/>
        <v>809.6451793302748</v>
      </c>
      <c r="K779" s="307">
        <f t="shared" ca="1" si="363"/>
        <v>-7.0761304125802065</v>
      </c>
      <c r="L779" s="304">
        <f t="shared" ca="1" si="348"/>
        <v>809.67610069358511</v>
      </c>
      <c r="M779" s="306">
        <f t="shared" ca="1" si="364"/>
        <v>-1.5564944327298609</v>
      </c>
      <c r="N779" s="304">
        <f t="shared" ca="1" si="365"/>
        <v>-89.180561831030261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1.7842999999999964</v>
      </c>
      <c r="T779" s="304">
        <f t="shared" ca="1" si="349"/>
        <v>17.503982999999966</v>
      </c>
      <c r="U779" s="311">
        <f t="shared" ca="1" si="350"/>
        <v>0</v>
      </c>
      <c r="V779" s="306">
        <f t="shared" ca="1" si="351"/>
        <v>1.2258671327727706</v>
      </c>
      <c r="W779" s="304">
        <f t="shared" ca="1" si="352"/>
        <v>18.359411013640617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-0.48042117106940019</v>
      </c>
      <c r="AH779" s="304">
        <f t="shared" ca="1" si="376"/>
        <v>-10.289417880363061</v>
      </c>
    </row>
    <row r="780" spans="1:34" x14ac:dyDescent="0.2">
      <c r="A780" s="347">
        <f t="shared" ca="1" si="354"/>
        <v>1E-4</v>
      </c>
      <c r="B780" s="304">
        <f t="shared" ca="1" si="355"/>
        <v>58.012300000000948</v>
      </c>
      <c r="D780" s="306">
        <f t="shared" ca="1" si="356"/>
        <v>-0.1471531694013275</v>
      </c>
      <c r="E780" s="307">
        <f t="shared" ca="1" si="357"/>
        <v>0.47836708533692018</v>
      </c>
      <c r="F780" s="304">
        <f t="shared" ca="1" si="358"/>
        <v>0.50048888459045326</v>
      </c>
      <c r="G780" s="306">
        <f t="shared" ca="1" si="359"/>
        <v>1.5105972157801502</v>
      </c>
      <c r="H780" s="307">
        <f t="shared" ca="1" si="360"/>
        <v>-105.61595849088802</v>
      </c>
      <c r="I780" s="304">
        <f t="shared" ca="1" si="361"/>
        <v>105.62676077537029</v>
      </c>
      <c r="J780" s="306">
        <f t="shared" ca="1" si="362"/>
        <v>809.6451793302748</v>
      </c>
      <c r="K780" s="307">
        <f t="shared" ca="1" si="363"/>
        <v>-7.0866920108211309</v>
      </c>
      <c r="L780" s="304">
        <f t="shared" ca="1" si="348"/>
        <v>809.67619306510994</v>
      </c>
      <c r="M780" s="306">
        <f t="shared" ca="1" si="364"/>
        <v>-1.5564945655530174</v>
      </c>
      <c r="N780" s="304">
        <f t="shared" ca="1" si="365"/>
        <v>-89.180569441236543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1.7842999999999964</v>
      </c>
      <c r="T780" s="304">
        <f t="shared" ca="1" si="349"/>
        <v>17.503982999999966</v>
      </c>
      <c r="U780" s="311">
        <f t="shared" ca="1" si="350"/>
        <v>0</v>
      </c>
      <c r="V780" s="306">
        <f t="shared" ca="1" si="351"/>
        <v>1.2258684274852316</v>
      </c>
      <c r="W780" s="304">
        <f t="shared" ca="1" si="352"/>
        <v>18.359413703281717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-0.48042265986532406</v>
      </c>
      <c r="AH780" s="304">
        <f t="shared" ca="1" si="376"/>
        <v>-10.289419387793899</v>
      </c>
    </row>
    <row r="781" spans="1:34" x14ac:dyDescent="0.2">
      <c r="A781" s="347">
        <f t="shared" ca="1" si="354"/>
        <v>1E-4</v>
      </c>
      <c r="B781" s="304">
        <f t="shared" ca="1" si="355"/>
        <v>58.012400000000952</v>
      </c>
      <c r="D781" s="306">
        <f t="shared" ca="1" si="356"/>
        <v>-0.14715182442557301</v>
      </c>
      <c r="E781" s="307">
        <f t="shared" ca="1" si="357"/>
        <v>0.47836861212089055</v>
      </c>
      <c r="F781" s="304">
        <f t="shared" ca="1" si="358"/>
        <v>0.50048994844476313</v>
      </c>
      <c r="G781" s="306">
        <f t="shared" ca="1" si="359"/>
        <v>1.5105825005977076</v>
      </c>
      <c r="H781" s="307">
        <f t="shared" ca="1" si="360"/>
        <v>-105.61591065402681</v>
      </c>
      <c r="I781" s="304">
        <f t="shared" ca="1" si="361"/>
        <v>105.62671273295636</v>
      </c>
      <c r="J781" s="306">
        <f t="shared" ca="1" si="362"/>
        <v>809.6451793302748</v>
      </c>
      <c r="K781" s="307">
        <f t="shared" ca="1" si="363"/>
        <v>-7.0972536042783769</v>
      </c>
      <c r="L781" s="304">
        <f t="shared" ca="1" si="348"/>
        <v>809.67628557434989</v>
      </c>
      <c r="M781" s="306">
        <f t="shared" ca="1" si="364"/>
        <v>-1.556494698375001</v>
      </c>
      <c r="N781" s="304">
        <f t="shared" ca="1" si="365"/>
        <v>-89.180577051375636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1.7842999999999964</v>
      </c>
      <c r="T781" s="304">
        <f t="shared" ca="1" si="349"/>
        <v>17.503982999999966</v>
      </c>
      <c r="U781" s="311">
        <f t="shared" ca="1" si="350"/>
        <v>0</v>
      </c>
      <c r="V781" s="306">
        <f t="shared" ca="1" si="351"/>
        <v>1.2258697221984747</v>
      </c>
      <c r="W781" s="304">
        <f t="shared" ca="1" si="352"/>
        <v>18.359416392855106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-0.4804241486236176</v>
      </c>
      <c r="AH781" s="304">
        <f t="shared" ca="1" si="376"/>
        <v>-10.289420895186771</v>
      </c>
    </row>
    <row r="782" spans="1:34" x14ac:dyDescent="0.2">
      <c r="A782" s="347">
        <f t="shared" ca="1" si="354"/>
        <v>1E-4</v>
      </c>
      <c r="B782" s="304">
        <f t="shared" ca="1" si="355"/>
        <v>58.012500000000955</v>
      </c>
      <c r="D782" s="306">
        <f t="shared" ca="1" si="356"/>
        <v>-0.1471504794609394</v>
      </c>
      <c r="E782" s="307">
        <f t="shared" ca="1" si="357"/>
        <v>0.47837013886656621</v>
      </c>
      <c r="F782" s="304">
        <f t="shared" ca="1" si="358"/>
        <v>0.50049101227175119</v>
      </c>
      <c r="G782" s="306">
        <f t="shared" ca="1" si="359"/>
        <v>1.5105677855497615</v>
      </c>
      <c r="H782" s="307">
        <f t="shared" ca="1" si="360"/>
        <v>-105.61586281701292</v>
      </c>
      <c r="I782" s="304">
        <f t="shared" ca="1" si="361"/>
        <v>105.62666469039357</v>
      </c>
      <c r="J782" s="306">
        <f t="shared" ca="1" si="362"/>
        <v>809.6451793302748</v>
      </c>
      <c r="K782" s="307">
        <f t="shared" ca="1" si="363"/>
        <v>-7.1078151929519287</v>
      </c>
      <c r="L782" s="304">
        <f t="shared" ca="1" si="348"/>
        <v>809.67637822130507</v>
      </c>
      <c r="M782" s="306">
        <f t="shared" ca="1" si="364"/>
        <v>-1.5564948311958113</v>
      </c>
      <c r="N782" s="304">
        <f t="shared" ca="1" si="365"/>
        <v>-89.180584661447497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1.7842999999999964</v>
      </c>
      <c r="T782" s="304">
        <f t="shared" ca="1" si="349"/>
        <v>17.503982999999966</v>
      </c>
      <c r="U782" s="311">
        <f t="shared" ca="1" si="350"/>
        <v>0</v>
      </c>
      <c r="V782" s="306">
        <f t="shared" ca="1" si="351"/>
        <v>1.2258710169124989</v>
      </c>
      <c r="W782" s="304">
        <f t="shared" ca="1" si="352"/>
        <v>18.359419082360755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-0.48042563734430033</v>
      </c>
      <c r="AH782" s="304">
        <f t="shared" ca="1" si="376"/>
        <v>-10.289422402541692</v>
      </c>
    </row>
    <row r="783" spans="1:34" x14ac:dyDescent="0.2">
      <c r="A783" s="347">
        <f t="shared" ca="1" si="354"/>
        <v>1E-4</v>
      </c>
      <c r="B783" s="304">
        <f t="shared" ca="1" si="355"/>
        <v>58.012600000000958</v>
      </c>
      <c r="D783" s="306">
        <f t="shared" ca="1" si="356"/>
        <v>-0.14714913450743108</v>
      </c>
      <c r="E783" s="307">
        <f t="shared" ca="1" si="357"/>
        <v>0.47837166557393651</v>
      </c>
      <c r="F783" s="304">
        <f t="shared" ca="1" si="358"/>
        <v>0.50049207607140811</v>
      </c>
      <c r="G783" s="306">
        <f t="shared" ca="1" si="359"/>
        <v>1.5105530706363106</v>
      </c>
      <c r="H783" s="307">
        <f t="shared" ca="1" si="360"/>
        <v>-105.61581497984636</v>
      </c>
      <c r="I783" s="304">
        <f t="shared" ca="1" si="361"/>
        <v>105.6266166476819</v>
      </c>
      <c r="J783" s="306">
        <f t="shared" ca="1" si="362"/>
        <v>809.6451793302748</v>
      </c>
      <c r="K783" s="307">
        <f t="shared" ca="1" si="363"/>
        <v>-7.1183767768417718</v>
      </c>
      <c r="L783" s="304">
        <f t="shared" ca="1" si="348"/>
        <v>809.67647100597526</v>
      </c>
      <c r="M783" s="306">
        <f t="shared" ca="1" si="364"/>
        <v>-1.5564949640154488</v>
      </c>
      <c r="N783" s="304">
        <f t="shared" ca="1" si="365"/>
        <v>-89.180592271452156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1.7842999999999964</v>
      </c>
      <c r="T783" s="304">
        <f t="shared" ca="1" si="349"/>
        <v>17.503982999999966</v>
      </c>
      <c r="U783" s="311">
        <f t="shared" ca="1" si="350"/>
        <v>0</v>
      </c>
      <c r="V783" s="306">
        <f t="shared" ca="1" si="351"/>
        <v>1.2258723116273047</v>
      </c>
      <c r="W783" s="304">
        <f t="shared" ca="1" si="352"/>
        <v>18.359421771798676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-0.48042712602735982</v>
      </c>
      <c r="AH783" s="304">
        <f t="shared" ca="1" si="376"/>
        <v>-10.289423909858652</v>
      </c>
    </row>
    <row r="784" spans="1:34" x14ac:dyDescent="0.2">
      <c r="A784" s="347">
        <f t="shared" ca="1" si="354"/>
        <v>1E-4</v>
      </c>
      <c r="B784" s="304">
        <f t="shared" ca="1" si="355"/>
        <v>58.012700000000962</v>
      </c>
      <c r="D784" s="306">
        <f t="shared" ca="1" si="356"/>
        <v>-0.1471477895650436</v>
      </c>
      <c r="E784" s="307">
        <f t="shared" ca="1" si="357"/>
        <v>0.47837319224300145</v>
      </c>
      <c r="F784" s="304">
        <f t="shared" ca="1" si="358"/>
        <v>0.50049313984373256</v>
      </c>
      <c r="G784" s="306">
        <f t="shared" ca="1" si="359"/>
        <v>1.5105383558573542</v>
      </c>
      <c r="H784" s="307">
        <f t="shared" ca="1" si="360"/>
        <v>-105.61576714252713</v>
      </c>
      <c r="I784" s="304">
        <f t="shared" ca="1" si="361"/>
        <v>105.62656860482134</v>
      </c>
      <c r="J784" s="306">
        <f t="shared" ca="1" si="362"/>
        <v>809.6451793302748</v>
      </c>
      <c r="K784" s="307">
        <f t="shared" ca="1" si="363"/>
        <v>-7.1289383559478905</v>
      </c>
      <c r="L784" s="304">
        <f t="shared" ca="1" si="348"/>
        <v>809.67656392836</v>
      </c>
      <c r="M784" s="306">
        <f t="shared" ca="1" si="364"/>
        <v>-1.5564950968339133</v>
      </c>
      <c r="N784" s="304">
        <f t="shared" ca="1" si="365"/>
        <v>-89.180599881389611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1.7842999999999964</v>
      </c>
      <c r="T784" s="304">
        <f t="shared" ca="1" si="349"/>
        <v>17.503982999999966</v>
      </c>
      <c r="U784" s="311">
        <f t="shared" ca="1" si="350"/>
        <v>0</v>
      </c>
      <c r="V784" s="306">
        <f t="shared" ca="1" si="351"/>
        <v>1.2258736063428921</v>
      </c>
      <c r="W784" s="304">
        <f t="shared" ca="1" si="352"/>
        <v>18.359424461168867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 t="e">
        <f t="shared" ca="1" si="353"/>
        <v>#N/A</v>
      </c>
      <c r="AG784" s="306">
        <f t="shared" ca="1" si="375"/>
        <v>-0.4804286146727943</v>
      </c>
      <c r="AH784" s="304">
        <f t="shared" ca="1" si="376"/>
        <v>-10.289425417137652</v>
      </c>
    </row>
    <row r="785" spans="1:34" x14ac:dyDescent="0.2">
      <c r="A785" s="347">
        <f t="shared" ca="1" si="354"/>
        <v>1E-4</v>
      </c>
      <c r="B785" s="304">
        <f t="shared" ca="1" si="355"/>
        <v>58.012800000000965</v>
      </c>
      <c r="D785" s="306">
        <f t="shared" ca="1" si="356"/>
        <v>-0.14714644463377918</v>
      </c>
      <c r="E785" s="307">
        <f t="shared" ca="1" si="357"/>
        <v>0.47837471887376459</v>
      </c>
      <c r="F785" s="304">
        <f t="shared" ca="1" si="358"/>
        <v>0.50049420358872798</v>
      </c>
      <c r="G785" s="306">
        <f t="shared" ca="1" si="359"/>
        <v>1.5105236412128908</v>
      </c>
      <c r="H785" s="307">
        <f t="shared" ca="1" si="360"/>
        <v>-105.61571930505525</v>
      </c>
      <c r="I785" s="304">
        <f t="shared" ca="1" si="361"/>
        <v>105.62652056181196</v>
      </c>
      <c r="J785" s="306">
        <f t="shared" ca="1" si="362"/>
        <v>809.6451793302748</v>
      </c>
      <c r="K785" s="307">
        <f t="shared" ca="1" si="363"/>
        <v>-7.1394999302702695</v>
      </c>
      <c r="L785" s="304">
        <f t="shared" ca="1" si="348"/>
        <v>809.67665698845929</v>
      </c>
      <c r="M785" s="306">
        <f t="shared" ca="1" si="364"/>
        <v>-1.5564952296512047</v>
      </c>
      <c r="N785" s="304">
        <f t="shared" ca="1" si="365"/>
        <v>-89.180607491259863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1.7842999999999964</v>
      </c>
      <c r="T785" s="304">
        <f t="shared" ca="1" si="349"/>
        <v>17.503982999999966</v>
      </c>
      <c r="U785" s="311">
        <f t="shared" ca="1" si="350"/>
        <v>0</v>
      </c>
      <c r="V785" s="306">
        <f t="shared" ca="1" si="351"/>
        <v>1.2258749010592609</v>
      </c>
      <c r="W785" s="304">
        <f t="shared" ca="1" si="352"/>
        <v>18.35942715047134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-0.48043010328060909</v>
      </c>
      <c r="AH785" s="304">
        <f t="shared" ca="1" si="376"/>
        <v>-10.289426924378693</v>
      </c>
    </row>
    <row r="786" spans="1:34" x14ac:dyDescent="0.2">
      <c r="A786" s="347">
        <f t="shared" ca="1" si="354"/>
        <v>1E-4</v>
      </c>
      <c r="B786" s="304">
        <f t="shared" ca="1" si="355"/>
        <v>58.012900000000968</v>
      </c>
      <c r="D786" s="306">
        <f t="shared" ca="1" si="356"/>
        <v>-0.14714509971363807</v>
      </c>
      <c r="E786" s="307">
        <f t="shared" ca="1" si="357"/>
        <v>0.47837624546623125</v>
      </c>
      <c r="F786" s="304">
        <f t="shared" ca="1" si="358"/>
        <v>0.50049526730639959</v>
      </c>
      <c r="G786" s="306">
        <f t="shared" ca="1" si="359"/>
        <v>1.5105089267029195</v>
      </c>
      <c r="H786" s="307">
        <f t="shared" ca="1" si="360"/>
        <v>-105.6156714674307</v>
      </c>
      <c r="I786" s="304">
        <f t="shared" ca="1" si="361"/>
        <v>105.6264725186537</v>
      </c>
      <c r="J786" s="306">
        <f t="shared" ca="1" si="362"/>
        <v>809.6451793302748</v>
      </c>
      <c r="K786" s="307">
        <f t="shared" ca="1" si="363"/>
        <v>-7.1500614998088938</v>
      </c>
      <c r="L786" s="304">
        <f t="shared" ca="1" si="348"/>
        <v>809.67675018627278</v>
      </c>
      <c r="M786" s="306">
        <f t="shared" ca="1" si="364"/>
        <v>-1.5564953624673232</v>
      </c>
      <c r="N786" s="304">
        <f t="shared" ca="1" si="365"/>
        <v>-89.180615101062898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1.7842999999999964</v>
      </c>
      <c r="T786" s="304">
        <f t="shared" ca="1" si="349"/>
        <v>17.503982999999966</v>
      </c>
      <c r="U786" s="311">
        <f t="shared" ca="1" si="350"/>
        <v>0</v>
      </c>
      <c r="V786" s="306">
        <f t="shared" ca="1" si="351"/>
        <v>1.2258761957764108</v>
      </c>
      <c r="W786" s="304">
        <f t="shared" ca="1" si="352"/>
        <v>18.359429839706078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-0.4804315918508113</v>
      </c>
      <c r="AH786" s="304">
        <f t="shared" ca="1" si="376"/>
        <v>-10.289428431581785</v>
      </c>
    </row>
    <row r="787" spans="1:34" x14ac:dyDescent="0.2">
      <c r="A787" s="347">
        <f t="shared" ca="1" si="354"/>
        <v>1E-4</v>
      </c>
      <c r="B787" s="304">
        <f t="shared" ca="1" si="355"/>
        <v>58.013000000000972</v>
      </c>
      <c r="D787" s="306">
        <f t="shared" ca="1" si="356"/>
        <v>-0.14714375480461772</v>
      </c>
      <c r="E787" s="307">
        <f t="shared" ca="1" si="357"/>
        <v>0.47837777202039078</v>
      </c>
      <c r="F787" s="304">
        <f t="shared" ca="1" si="358"/>
        <v>0.50049633099673618</v>
      </c>
      <c r="G787" s="306">
        <f t="shared" ca="1" si="359"/>
        <v>1.510494212327439</v>
      </c>
      <c r="H787" s="307">
        <f t="shared" ca="1" si="360"/>
        <v>-105.6156236296535</v>
      </c>
      <c r="I787" s="304">
        <f t="shared" ca="1" si="361"/>
        <v>105.6264244753466</v>
      </c>
      <c r="J787" s="306">
        <f t="shared" ca="1" si="362"/>
        <v>809.6451793302748</v>
      </c>
      <c r="K787" s="307">
        <f t="shared" ca="1" si="363"/>
        <v>-7.1606230645637483</v>
      </c>
      <c r="L787" s="304">
        <f t="shared" ca="1" si="348"/>
        <v>809.67684352180015</v>
      </c>
      <c r="M787" s="306">
        <f t="shared" ca="1" si="364"/>
        <v>-1.5564954952822687</v>
      </c>
      <c r="N787" s="304">
        <f t="shared" ca="1" si="365"/>
        <v>-89.18062271079873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1.7842999999999964</v>
      </c>
      <c r="T787" s="304">
        <f t="shared" ca="1" si="349"/>
        <v>17.503982999999966</v>
      </c>
      <c r="U787" s="311">
        <f t="shared" ca="1" si="350"/>
        <v>0</v>
      </c>
      <c r="V787" s="306">
        <f t="shared" ca="1" si="351"/>
        <v>1.2258774904943428</v>
      </c>
      <c r="W787" s="304">
        <f t="shared" ca="1" si="352"/>
        <v>18.359432528873093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-0.4804330803833885</v>
      </c>
      <c r="AH787" s="304">
        <f t="shared" ca="1" si="376"/>
        <v>-10.289429938746911</v>
      </c>
    </row>
    <row r="788" spans="1:34" x14ac:dyDescent="0.2">
      <c r="A788" s="347">
        <f t="shared" ca="1" si="354"/>
        <v>1E-4</v>
      </c>
      <c r="B788" s="304">
        <f t="shared" ca="1" si="355"/>
        <v>58.013100000000975</v>
      </c>
      <c r="D788" s="306">
        <f t="shared" ca="1" si="356"/>
        <v>-0.14714240990672062</v>
      </c>
      <c r="E788" s="307">
        <f t="shared" ca="1" si="357"/>
        <v>0.47837929853625027</v>
      </c>
      <c r="F788" s="304">
        <f t="shared" ca="1" si="358"/>
        <v>0.50049739465974474</v>
      </c>
      <c r="G788" s="306">
        <f t="shared" ca="1" si="359"/>
        <v>1.5104794980864482</v>
      </c>
      <c r="H788" s="307">
        <f t="shared" ca="1" si="360"/>
        <v>-105.61557579172364</v>
      </c>
      <c r="I788" s="304">
        <f t="shared" ca="1" si="361"/>
        <v>105.62637643189063</v>
      </c>
      <c r="J788" s="306">
        <f t="shared" ca="1" si="362"/>
        <v>809.6451793302748</v>
      </c>
      <c r="K788" s="307">
        <f t="shared" ca="1" si="363"/>
        <v>-7.171184624534817</v>
      </c>
      <c r="L788" s="304">
        <f t="shared" ca="1" si="348"/>
        <v>809.67693699504127</v>
      </c>
      <c r="M788" s="306">
        <f t="shared" ca="1" si="364"/>
        <v>-1.5564956280960411</v>
      </c>
      <c r="N788" s="304">
        <f t="shared" ca="1" si="365"/>
        <v>-89.180630320467358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1.7842999999999964</v>
      </c>
      <c r="T788" s="304">
        <f t="shared" ca="1" si="349"/>
        <v>17.503982999999966</v>
      </c>
      <c r="U788" s="311">
        <f t="shared" ca="1" si="350"/>
        <v>0</v>
      </c>
      <c r="V788" s="306">
        <f t="shared" ca="1" si="351"/>
        <v>1.2258787852130559</v>
      </c>
      <c r="W788" s="304">
        <f t="shared" ca="1" si="352"/>
        <v>18.35943521797239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-0.48043456887834601</v>
      </c>
      <c r="AH788" s="304">
        <f t="shared" ca="1" si="376"/>
        <v>-10.289431445874085</v>
      </c>
    </row>
    <row r="789" spans="1:34" x14ac:dyDescent="0.2">
      <c r="A789" s="347">
        <f t="shared" ca="1" si="354"/>
        <v>1E-4</v>
      </c>
      <c r="B789" s="304">
        <f t="shared" ca="1" si="355"/>
        <v>58.013200000000978</v>
      </c>
      <c r="D789" s="306">
        <f t="shared" ca="1" si="356"/>
        <v>-0.14714106501994678</v>
      </c>
      <c r="E789" s="307">
        <f t="shared" ca="1" si="357"/>
        <v>0.47838082501381507</v>
      </c>
      <c r="F789" s="304">
        <f t="shared" ca="1" si="358"/>
        <v>0.50049845829543027</v>
      </c>
      <c r="G789" s="306">
        <f t="shared" ca="1" si="359"/>
        <v>1.5104647839799463</v>
      </c>
      <c r="H789" s="307">
        <f t="shared" ca="1" si="360"/>
        <v>-105.61552795364115</v>
      </c>
      <c r="I789" s="304">
        <f t="shared" ca="1" si="361"/>
        <v>105.62632838828584</v>
      </c>
      <c r="J789" s="306">
        <f t="shared" ca="1" si="362"/>
        <v>809.6451793302748</v>
      </c>
      <c r="K789" s="307">
        <f t="shared" ca="1" si="363"/>
        <v>-7.1817461797220856</v>
      </c>
      <c r="L789" s="304">
        <f t="shared" ca="1" si="348"/>
        <v>809.67703060599592</v>
      </c>
      <c r="M789" s="306">
        <f t="shared" ca="1" si="364"/>
        <v>-1.5564957609086407</v>
      </c>
      <c r="N789" s="304">
        <f t="shared" ca="1" si="365"/>
        <v>-89.180637930068784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1.7842999999999964</v>
      </c>
      <c r="T789" s="304">
        <f t="shared" ca="1" si="349"/>
        <v>17.503982999999966</v>
      </c>
      <c r="U789" s="311">
        <f t="shared" ca="1" si="350"/>
        <v>0</v>
      </c>
      <c r="V789" s="306">
        <f t="shared" ca="1" si="351"/>
        <v>1.2258800799325507</v>
      </c>
      <c r="W789" s="304">
        <f t="shared" ca="1" si="352"/>
        <v>18.359437907003972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-0.48043605733569272</v>
      </c>
      <c r="AH789" s="304">
        <f t="shared" ca="1" si="376"/>
        <v>-10.289432952963306</v>
      </c>
    </row>
    <row r="790" spans="1:34" x14ac:dyDescent="0.2">
      <c r="A790" s="347">
        <f t="shared" ca="1" si="354"/>
        <v>1E-4</v>
      </c>
      <c r="B790" s="304">
        <f t="shared" ca="1" si="355"/>
        <v>58.013300000000982</v>
      </c>
      <c r="D790" s="306">
        <f t="shared" ca="1" si="356"/>
        <v>-0.14713972014429402</v>
      </c>
      <c r="E790" s="307">
        <f t="shared" ca="1" si="357"/>
        <v>0.47838235145308339</v>
      </c>
      <c r="F790" s="304">
        <f t="shared" ca="1" si="358"/>
        <v>0.50049952190379021</v>
      </c>
      <c r="G790" s="306">
        <f t="shared" ca="1" si="359"/>
        <v>1.510450070007932</v>
      </c>
      <c r="H790" s="307">
        <f t="shared" ca="1" si="360"/>
        <v>-105.615480115406</v>
      </c>
      <c r="I790" s="304">
        <f t="shared" ca="1" si="361"/>
        <v>105.62628034453219</v>
      </c>
      <c r="J790" s="306">
        <f t="shared" ca="1" si="362"/>
        <v>809.6451793302748</v>
      </c>
      <c r="K790" s="307">
        <f t="shared" ca="1" si="363"/>
        <v>-7.1923077301255383</v>
      </c>
      <c r="L790" s="304">
        <f t="shared" ca="1" si="348"/>
        <v>809.67712435466376</v>
      </c>
      <c r="M790" s="306">
        <f t="shared" ca="1" si="364"/>
        <v>-1.5564958937200672</v>
      </c>
      <c r="N790" s="304">
        <f t="shared" ca="1" si="365"/>
        <v>-89.180645539602992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1.7842999999999964</v>
      </c>
      <c r="T790" s="304">
        <f t="shared" ca="1" si="349"/>
        <v>17.503982999999966</v>
      </c>
      <c r="U790" s="311">
        <f t="shared" ca="1" si="350"/>
        <v>0</v>
      </c>
      <c r="V790" s="306">
        <f t="shared" ca="1" si="351"/>
        <v>1.2258813746528268</v>
      </c>
      <c r="W790" s="304">
        <f t="shared" ca="1" si="352"/>
        <v>18.359440595967818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-0.4804375457554233</v>
      </c>
      <c r="AH790" s="304">
        <f t="shared" ca="1" si="376"/>
        <v>-10.289434460014576</v>
      </c>
    </row>
    <row r="791" spans="1:34" x14ac:dyDescent="0.2">
      <c r="A791" s="347">
        <f t="shared" ca="1" si="354"/>
        <v>1E-4</v>
      </c>
      <c r="B791" s="304">
        <f t="shared" ca="1" si="355"/>
        <v>58.013400000000985</v>
      </c>
      <c r="D791" s="306">
        <f t="shared" ca="1" si="356"/>
        <v>-0.14713837527976445</v>
      </c>
      <c r="E791" s="307">
        <f t="shared" ca="1" si="357"/>
        <v>0.47838387785404635</v>
      </c>
      <c r="F791" s="304">
        <f t="shared" ca="1" si="358"/>
        <v>0.50050058548481635</v>
      </c>
      <c r="G791" s="306">
        <f t="shared" ca="1" si="359"/>
        <v>1.510435356170404</v>
      </c>
      <c r="H791" s="307">
        <f t="shared" ca="1" si="360"/>
        <v>-105.61543227701821</v>
      </c>
      <c r="I791" s="304">
        <f t="shared" ca="1" si="361"/>
        <v>105.62623230062971</v>
      </c>
      <c r="J791" s="306">
        <f t="shared" ca="1" si="362"/>
        <v>809.6451793302748</v>
      </c>
      <c r="K791" s="307">
        <f t="shared" ca="1" si="363"/>
        <v>-7.2028692757451598</v>
      </c>
      <c r="L791" s="304">
        <f t="shared" ca="1" si="348"/>
        <v>809.67721824104467</v>
      </c>
      <c r="M791" s="306">
        <f t="shared" ca="1" si="364"/>
        <v>-1.5564960265303209</v>
      </c>
      <c r="N791" s="304">
        <f t="shared" ca="1" si="365"/>
        <v>-89.180653149069997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1.7842999999999964</v>
      </c>
      <c r="T791" s="304">
        <f t="shared" ca="1" si="349"/>
        <v>17.503982999999966</v>
      </c>
      <c r="U791" s="311">
        <f t="shared" ca="1" si="350"/>
        <v>0</v>
      </c>
      <c r="V791" s="306">
        <f t="shared" ca="1" si="351"/>
        <v>1.2258826693738845</v>
      </c>
      <c r="W791" s="304">
        <f t="shared" ca="1" si="352"/>
        <v>18.359443284863961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-0.48043903413753064</v>
      </c>
      <c r="AH791" s="304">
        <f t="shared" ca="1" si="376"/>
        <v>-10.289435967027885</v>
      </c>
    </row>
    <row r="792" spans="1:34" x14ac:dyDescent="0.2">
      <c r="A792" s="347">
        <f t="shared" ca="1" si="354"/>
        <v>1E-4</v>
      </c>
      <c r="B792" s="304">
        <f t="shared" ca="1" si="355"/>
        <v>58.013500000000988</v>
      </c>
      <c r="D792" s="306">
        <f t="shared" ca="1" si="356"/>
        <v>-0.14713703042635606</v>
      </c>
      <c r="E792" s="307">
        <f t="shared" ca="1" si="357"/>
        <v>0.47838540421672171</v>
      </c>
      <c r="F792" s="304">
        <f t="shared" ca="1" si="358"/>
        <v>0.50050164903852479</v>
      </c>
      <c r="G792" s="306">
        <f t="shared" ca="1" si="359"/>
        <v>1.5104206424673614</v>
      </c>
      <c r="H792" s="307">
        <f t="shared" ca="1" si="360"/>
        <v>-105.61538443847779</v>
      </c>
      <c r="I792" s="304">
        <f t="shared" ca="1" si="361"/>
        <v>105.62618425657838</v>
      </c>
      <c r="J792" s="306">
        <f t="shared" ca="1" si="362"/>
        <v>809.6451793302748</v>
      </c>
      <c r="K792" s="307">
        <f t="shared" ca="1" si="363"/>
        <v>-7.2134308165809342</v>
      </c>
      <c r="L792" s="304">
        <f t="shared" ca="1" si="348"/>
        <v>809.67731226513843</v>
      </c>
      <c r="M792" s="306">
        <f t="shared" ca="1" si="364"/>
        <v>-1.5564961593394016</v>
      </c>
      <c r="N792" s="304">
        <f t="shared" ca="1" si="365"/>
        <v>-89.180660758469799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1.7842999999999964</v>
      </c>
      <c r="T792" s="304">
        <f t="shared" ca="1" si="349"/>
        <v>17.503982999999966</v>
      </c>
      <c r="U792" s="311">
        <f t="shared" ca="1" si="350"/>
        <v>0</v>
      </c>
      <c r="V792" s="306">
        <f t="shared" ca="1" si="351"/>
        <v>1.2258839640957238</v>
      </c>
      <c r="W792" s="304">
        <f t="shared" ca="1" si="352"/>
        <v>18.359445973692374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-0.48044052248203073</v>
      </c>
      <c r="AH792" s="304">
        <f t="shared" ca="1" si="376"/>
        <v>-10.289437474003249</v>
      </c>
    </row>
    <row r="793" spans="1:34" x14ac:dyDescent="0.2">
      <c r="A793" s="347">
        <f t="shared" ca="1" si="354"/>
        <v>1E-4</v>
      </c>
      <c r="B793" s="304">
        <f t="shared" ca="1" si="355"/>
        <v>58.013600000000991</v>
      </c>
      <c r="D793" s="306">
        <f t="shared" ca="1" si="356"/>
        <v>-0.14713568558407095</v>
      </c>
      <c r="E793" s="307">
        <f t="shared" ca="1" si="357"/>
        <v>0.47838693054109349</v>
      </c>
      <c r="F793" s="304">
        <f t="shared" ca="1" si="358"/>
        <v>0.50050271256490064</v>
      </c>
      <c r="G793" s="306">
        <f t="shared" ca="1" si="359"/>
        <v>1.510405928898803</v>
      </c>
      <c r="H793" s="307">
        <f t="shared" ca="1" si="360"/>
        <v>-105.61533659978474</v>
      </c>
      <c r="I793" s="304">
        <f t="shared" ca="1" si="361"/>
        <v>105.62613621237824</v>
      </c>
      <c r="J793" s="306">
        <f t="shared" ca="1" si="362"/>
        <v>809.6451793302748</v>
      </c>
      <c r="K793" s="307">
        <f t="shared" ca="1" si="363"/>
        <v>-7.2239923526328473</v>
      </c>
      <c r="L793" s="304">
        <f t="shared" ca="1" si="348"/>
        <v>809.67740642694469</v>
      </c>
      <c r="M793" s="306">
        <f t="shared" ca="1" si="364"/>
        <v>-1.5564962921473093</v>
      </c>
      <c r="N793" s="304">
        <f t="shared" ca="1" si="365"/>
        <v>-89.180668367802397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1.7842999999999964</v>
      </c>
      <c r="T793" s="304">
        <f t="shared" ca="1" si="349"/>
        <v>17.503982999999966</v>
      </c>
      <c r="U793" s="311">
        <f t="shared" ca="1" si="350"/>
        <v>0</v>
      </c>
      <c r="V793" s="306">
        <f t="shared" ca="1" si="351"/>
        <v>1.2258852588183442</v>
      </c>
      <c r="W793" s="304">
        <f t="shared" ca="1" si="352"/>
        <v>18.359448662453076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-0.48044201078891291</v>
      </c>
      <c r="AH793" s="304">
        <f t="shared" ca="1" si="376"/>
        <v>-10.289438980940655</v>
      </c>
    </row>
    <row r="794" spans="1:34" x14ac:dyDescent="0.2">
      <c r="A794" s="347">
        <f t="shared" ca="1" si="354"/>
        <v>1E-4</v>
      </c>
      <c r="B794" s="304">
        <f t="shared" ca="1" si="355"/>
        <v>58.013700000000995</v>
      </c>
      <c r="D794" s="306">
        <f t="shared" ca="1" si="356"/>
        <v>-0.14713434075290699</v>
      </c>
      <c r="E794" s="307">
        <f t="shared" ca="1" si="357"/>
        <v>0.47838845682717057</v>
      </c>
      <c r="F794" s="304">
        <f t="shared" ca="1" si="358"/>
        <v>0.50050377606395158</v>
      </c>
      <c r="G794" s="306">
        <f t="shared" ca="1" si="359"/>
        <v>1.5103912154647277</v>
      </c>
      <c r="H794" s="307">
        <f t="shared" ca="1" si="360"/>
        <v>-105.61528876093905</v>
      </c>
      <c r="I794" s="304">
        <f t="shared" ca="1" si="361"/>
        <v>105.62608816802927</v>
      </c>
      <c r="J794" s="306">
        <f t="shared" ca="1" si="362"/>
        <v>809.6451793302748</v>
      </c>
      <c r="K794" s="307">
        <f t="shared" ca="1" si="363"/>
        <v>-7.2345538839008832</v>
      </c>
      <c r="L794" s="304">
        <f t="shared" ca="1" si="348"/>
        <v>809.67750072646322</v>
      </c>
      <c r="M794" s="306">
        <f t="shared" ca="1" si="364"/>
        <v>-1.5564964249540441</v>
      </c>
      <c r="N794" s="304">
        <f t="shared" ca="1" si="365"/>
        <v>-89.180675977067793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1.7842999999999964</v>
      </c>
      <c r="T794" s="304">
        <f t="shared" ca="1" si="349"/>
        <v>17.503982999999966</v>
      </c>
      <c r="U794" s="311">
        <f t="shared" ca="1" si="350"/>
        <v>0</v>
      </c>
      <c r="V794" s="306">
        <f t="shared" ca="1" si="351"/>
        <v>1.2258865535417462</v>
      </c>
      <c r="W794" s="304">
        <f t="shared" ca="1" si="352"/>
        <v>18.35945135114606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 t="e">
        <f t="shared" ca="1" si="353"/>
        <v>#N/A</v>
      </c>
      <c r="AG794" s="306">
        <f t="shared" ca="1" si="375"/>
        <v>-0.48044349905817896</v>
      </c>
      <c r="AH794" s="304">
        <f t="shared" ca="1" si="376"/>
        <v>-10.289440487840112</v>
      </c>
    </row>
    <row r="795" spans="1:34" x14ac:dyDescent="0.2">
      <c r="A795" s="347">
        <f t="shared" ca="1" si="354"/>
        <v>1E-4</v>
      </c>
      <c r="B795" s="304">
        <f t="shared" ca="1" si="355"/>
        <v>58.013800000000998</v>
      </c>
      <c r="D795" s="306">
        <f t="shared" ca="1" si="356"/>
        <v>-0.14713299593286644</v>
      </c>
      <c r="E795" s="307">
        <f t="shared" ca="1" si="357"/>
        <v>0.47838998307495118</v>
      </c>
      <c r="F795" s="304">
        <f t="shared" ca="1" si="358"/>
        <v>0.50050483953567615</v>
      </c>
      <c r="G795" s="306">
        <f t="shared" ca="1" si="359"/>
        <v>1.5103765021651343</v>
      </c>
      <c r="H795" s="307">
        <f t="shared" ca="1" si="360"/>
        <v>-105.61524092194074</v>
      </c>
      <c r="I795" s="304">
        <f t="shared" ca="1" si="361"/>
        <v>105.62604012353147</v>
      </c>
      <c r="J795" s="306">
        <f t="shared" ca="1" si="362"/>
        <v>809.6451793302748</v>
      </c>
      <c r="K795" s="307">
        <f t="shared" ca="1" si="363"/>
        <v>-7.2451154103850275</v>
      </c>
      <c r="L795" s="304">
        <f t="shared" ca="1" si="348"/>
        <v>809.67759516369392</v>
      </c>
      <c r="M795" s="306">
        <f t="shared" ca="1" si="364"/>
        <v>-1.5564965577596059</v>
      </c>
      <c r="N795" s="304">
        <f t="shared" ca="1" si="365"/>
        <v>-89.180683586265985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1.7842999999999964</v>
      </c>
      <c r="T795" s="304">
        <f t="shared" ca="1" si="349"/>
        <v>17.503982999999966</v>
      </c>
      <c r="U795" s="311">
        <f t="shared" ca="1" si="350"/>
        <v>0</v>
      </c>
      <c r="V795" s="306">
        <f t="shared" ca="1" si="351"/>
        <v>1.2258878482659299</v>
      </c>
      <c r="W795" s="304">
        <f t="shared" ca="1" si="352"/>
        <v>18.359454039771332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-0.4804449872898342</v>
      </c>
      <c r="AH795" s="304">
        <f t="shared" ca="1" si="376"/>
        <v>-10.289441994701617</v>
      </c>
    </row>
    <row r="796" spans="1:34" x14ac:dyDescent="0.2">
      <c r="A796" s="347">
        <f t="shared" ca="1" si="354"/>
        <v>1E-4</v>
      </c>
      <c r="B796" s="304">
        <f t="shared" ca="1" si="355"/>
        <v>58.013900000001001</v>
      </c>
      <c r="D796" s="306">
        <f t="shared" ca="1" si="356"/>
        <v>-0.14713165112394708</v>
      </c>
      <c r="E796" s="307">
        <f t="shared" ca="1" si="357"/>
        <v>0.47839150928444063</v>
      </c>
      <c r="F796" s="304">
        <f t="shared" ca="1" si="358"/>
        <v>0.50050590298007869</v>
      </c>
      <c r="G796" s="306">
        <f t="shared" ca="1" si="359"/>
        <v>1.5103617890000218</v>
      </c>
      <c r="H796" s="307">
        <f t="shared" ca="1" si="360"/>
        <v>-105.61519308278982</v>
      </c>
      <c r="I796" s="304">
        <f t="shared" ca="1" si="361"/>
        <v>105.62599207888485</v>
      </c>
      <c r="J796" s="306">
        <f t="shared" ca="1" si="362"/>
        <v>809.6451793302748</v>
      </c>
      <c r="K796" s="307">
        <f t="shared" ca="1" si="363"/>
        <v>-7.2556769320852643</v>
      </c>
      <c r="L796" s="304">
        <f t="shared" ca="1" si="348"/>
        <v>809.67768973863645</v>
      </c>
      <c r="M796" s="306">
        <f t="shared" ca="1" si="364"/>
        <v>-1.556496690563995</v>
      </c>
      <c r="N796" s="304">
        <f t="shared" ca="1" si="365"/>
        <v>-89.180691195396975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1.7842999999999964</v>
      </c>
      <c r="T796" s="304">
        <f t="shared" ca="1" si="349"/>
        <v>17.503982999999966</v>
      </c>
      <c r="U796" s="311">
        <f t="shared" ca="1" si="350"/>
        <v>0</v>
      </c>
      <c r="V796" s="306">
        <f t="shared" ca="1" si="351"/>
        <v>1.2258891429908947</v>
      </c>
      <c r="W796" s="304">
        <f t="shared" ca="1" si="352"/>
        <v>18.359456728328894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-0.48044647548387864</v>
      </c>
      <c r="AH796" s="304">
        <f t="shared" ca="1" si="376"/>
        <v>-10.289443501525174</v>
      </c>
    </row>
    <row r="797" spans="1:34" x14ac:dyDescent="0.2">
      <c r="A797" s="347">
        <f t="shared" ca="1" si="354"/>
        <v>1E-4</v>
      </c>
      <c r="B797" s="304">
        <f t="shared" ca="1" si="355"/>
        <v>58.014000000001005</v>
      </c>
      <c r="D797" s="306">
        <f t="shared" ca="1" si="356"/>
        <v>-0.14713030632614899</v>
      </c>
      <c r="E797" s="307">
        <f t="shared" ca="1" si="357"/>
        <v>0.47839303545563894</v>
      </c>
      <c r="F797" s="304">
        <f t="shared" ca="1" si="358"/>
        <v>0.50050696639715875</v>
      </c>
      <c r="G797" s="306">
        <f t="shared" ca="1" si="359"/>
        <v>1.5103470759693891</v>
      </c>
      <c r="H797" s="307">
        <f t="shared" ca="1" si="360"/>
        <v>-105.61514524348627</v>
      </c>
      <c r="I797" s="304">
        <f t="shared" ca="1" si="361"/>
        <v>105.62594403408941</v>
      </c>
      <c r="J797" s="306">
        <f t="shared" ca="1" si="362"/>
        <v>809.6451793302748</v>
      </c>
      <c r="K797" s="307">
        <f t="shared" ca="1" si="363"/>
        <v>-7.2662384490015786</v>
      </c>
      <c r="L797" s="304">
        <f t="shared" ca="1" si="348"/>
        <v>809.67778445129068</v>
      </c>
      <c r="M797" s="306">
        <f t="shared" ca="1" si="364"/>
        <v>-1.5564968233672112</v>
      </c>
      <c r="N797" s="304">
        <f t="shared" ca="1" si="365"/>
        <v>-89.180698804460775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1.7842999999999964</v>
      </c>
      <c r="T797" s="304">
        <f t="shared" ca="1" si="349"/>
        <v>17.503982999999966</v>
      </c>
      <c r="U797" s="311">
        <f t="shared" ca="1" si="350"/>
        <v>0</v>
      </c>
      <c r="V797" s="306">
        <f t="shared" ca="1" si="351"/>
        <v>1.2258904377166417</v>
      </c>
      <c r="W797" s="304">
        <f t="shared" ca="1" si="352"/>
        <v>18.359459416818748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-0.48044796364031228</v>
      </c>
      <c r="AH797" s="304">
        <f t="shared" ca="1" si="376"/>
        <v>-10.289445008310784</v>
      </c>
    </row>
    <row r="798" spans="1:34" x14ac:dyDescent="0.2">
      <c r="A798" s="347">
        <f t="shared" ca="1" si="354"/>
        <v>1E-4</v>
      </c>
      <c r="B798" s="304">
        <f t="shared" ca="1" si="355"/>
        <v>58.014100000001008</v>
      </c>
      <c r="D798" s="306">
        <f t="shared" ca="1" si="356"/>
        <v>-0.14712896153947214</v>
      </c>
      <c r="E798" s="307">
        <f t="shared" ca="1" si="357"/>
        <v>0.47839456158854254</v>
      </c>
      <c r="F798" s="304">
        <f t="shared" ca="1" si="358"/>
        <v>0.50050802978691289</v>
      </c>
      <c r="G798" s="306">
        <f t="shared" ca="1" si="359"/>
        <v>1.5103323630732353</v>
      </c>
      <c r="H798" s="307">
        <f t="shared" ca="1" si="360"/>
        <v>-105.61509740403011</v>
      </c>
      <c r="I798" s="304">
        <f t="shared" ca="1" si="361"/>
        <v>105.62589598914516</v>
      </c>
      <c r="J798" s="306">
        <f t="shared" ca="1" si="362"/>
        <v>809.6451793302748</v>
      </c>
      <c r="K798" s="307">
        <f t="shared" ca="1" si="363"/>
        <v>-7.2767999611339542</v>
      </c>
      <c r="L798" s="304">
        <f t="shared" ca="1" si="348"/>
        <v>809.67787930165605</v>
      </c>
      <c r="M798" s="306">
        <f t="shared" ca="1" si="364"/>
        <v>-1.5564969561692545</v>
      </c>
      <c r="N798" s="304">
        <f t="shared" ca="1" si="365"/>
        <v>-89.180706413457372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1.7842999999999964</v>
      </c>
      <c r="T798" s="304">
        <f t="shared" ca="1" si="349"/>
        <v>17.503982999999966</v>
      </c>
      <c r="U798" s="311">
        <f t="shared" ca="1" si="350"/>
        <v>0</v>
      </c>
      <c r="V798" s="306">
        <f t="shared" ca="1" si="351"/>
        <v>1.2258917324431695</v>
      </c>
      <c r="W798" s="304">
        <f t="shared" ca="1" si="352"/>
        <v>18.359462105240876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-0.48044945175913512</v>
      </c>
      <c r="AH798" s="304">
        <f t="shared" ca="1" si="376"/>
        <v>-10.289446515058446</v>
      </c>
    </row>
    <row r="799" spans="1:34" x14ac:dyDescent="0.2">
      <c r="A799" s="347">
        <f t="shared" ca="1" si="354"/>
        <v>1E-4</v>
      </c>
      <c r="B799" s="304">
        <f t="shared" ca="1" si="355"/>
        <v>58.014200000001011</v>
      </c>
      <c r="D799" s="306">
        <f t="shared" ca="1" si="356"/>
        <v>-0.14712761676391642</v>
      </c>
      <c r="E799" s="307">
        <f t="shared" ca="1" si="357"/>
        <v>0.4783960876831479</v>
      </c>
      <c r="F799" s="304">
        <f t="shared" ca="1" si="358"/>
        <v>0.50050909314933723</v>
      </c>
      <c r="G799" s="306">
        <f t="shared" ca="1" si="359"/>
        <v>1.510317650311559</v>
      </c>
      <c r="H799" s="307">
        <f t="shared" ca="1" si="360"/>
        <v>-105.61504956442134</v>
      </c>
      <c r="I799" s="304">
        <f t="shared" ca="1" si="361"/>
        <v>105.62584794405213</v>
      </c>
      <c r="J799" s="306">
        <f t="shared" ca="1" si="362"/>
        <v>809.6451793302748</v>
      </c>
      <c r="K799" s="307">
        <f t="shared" ca="1" si="363"/>
        <v>-7.2873614684823771</v>
      </c>
      <c r="L799" s="304">
        <f t="shared" ca="1" si="348"/>
        <v>809.67797428973279</v>
      </c>
      <c r="M799" s="306">
        <f t="shared" ca="1" si="364"/>
        <v>-1.5564970889701248</v>
      </c>
      <c r="N799" s="304">
        <f t="shared" ca="1" si="365"/>
        <v>-89.180714022386752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1.7842999999999964</v>
      </c>
      <c r="T799" s="304">
        <f t="shared" ca="1" si="349"/>
        <v>17.503982999999966</v>
      </c>
      <c r="U799" s="311">
        <f t="shared" ca="1" si="350"/>
        <v>0</v>
      </c>
      <c r="V799" s="306">
        <f t="shared" ca="1" si="351"/>
        <v>1.2258930271704789</v>
      </c>
      <c r="W799" s="304">
        <f t="shared" ca="1" si="352"/>
        <v>18.359464793595311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-0.48045093984034004</v>
      </c>
      <c r="AH799" s="304">
        <f t="shared" ca="1" si="376"/>
        <v>-10.289448021768152</v>
      </c>
    </row>
    <row r="800" spans="1:34" x14ac:dyDescent="0.2">
      <c r="A800" s="347">
        <f t="shared" ca="1" si="354"/>
        <v>1E-4</v>
      </c>
      <c r="B800" s="304">
        <f t="shared" ca="1" si="355"/>
        <v>58.014300000001015</v>
      </c>
      <c r="D800" s="306">
        <f t="shared" ca="1" si="356"/>
        <v>-0.14712627199948444</v>
      </c>
      <c r="E800" s="307">
        <f t="shared" ca="1" si="357"/>
        <v>0.47839761373946743</v>
      </c>
      <c r="F800" s="304">
        <f t="shared" ca="1" si="358"/>
        <v>0.5005101564844443</v>
      </c>
      <c r="G800" s="306">
        <f t="shared" ca="1" si="359"/>
        <v>1.5103029376843591</v>
      </c>
      <c r="H800" s="307">
        <f t="shared" ca="1" si="360"/>
        <v>-105.61500172465996</v>
      </c>
      <c r="I800" s="304">
        <f t="shared" ca="1" si="361"/>
        <v>105.62579989881026</v>
      </c>
      <c r="J800" s="306">
        <f t="shared" ca="1" si="362"/>
        <v>809.6451793302748</v>
      </c>
      <c r="K800" s="307">
        <f t="shared" ca="1" si="363"/>
        <v>-7.2979229710468312</v>
      </c>
      <c r="L800" s="304">
        <f t="shared" ca="1" si="348"/>
        <v>809.67806941552033</v>
      </c>
      <c r="M800" s="306">
        <f t="shared" ca="1" si="364"/>
        <v>-1.5564972217698225</v>
      </c>
      <c r="N800" s="304">
        <f t="shared" ca="1" si="365"/>
        <v>-89.180721631248957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1.7842999999999964</v>
      </c>
      <c r="T800" s="304">
        <f t="shared" ca="1" si="349"/>
        <v>17.503982999999966</v>
      </c>
      <c r="U800" s="311">
        <f t="shared" ca="1" si="350"/>
        <v>0</v>
      </c>
      <c r="V800" s="306">
        <f t="shared" ca="1" si="351"/>
        <v>1.2258943218985696</v>
      </c>
      <c r="W800" s="304">
        <f t="shared" ca="1" si="352"/>
        <v>18.359467481882024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-0.48045242788394482</v>
      </c>
      <c r="AH800" s="304">
        <f t="shared" ca="1" si="376"/>
        <v>-10.289449528439919</v>
      </c>
    </row>
    <row r="801" spans="1:34" x14ac:dyDescent="0.2">
      <c r="A801" s="347">
        <f t="shared" ca="1" si="354"/>
        <v>1E-4</v>
      </c>
      <c r="B801" s="304">
        <f t="shared" ca="1" si="355"/>
        <v>58.014400000001018</v>
      </c>
      <c r="D801" s="306">
        <f t="shared" ca="1" si="356"/>
        <v>-0.14712492724617138</v>
      </c>
      <c r="E801" s="307">
        <f t="shared" ca="1" si="357"/>
        <v>0.47839913975749226</v>
      </c>
      <c r="F801" s="304">
        <f t="shared" ca="1" si="358"/>
        <v>0.5005112197922239</v>
      </c>
      <c r="G801" s="306">
        <f t="shared" ca="1" si="359"/>
        <v>1.5102882251916345</v>
      </c>
      <c r="H801" s="307">
        <f t="shared" ca="1" si="360"/>
        <v>-105.61495388474599</v>
      </c>
      <c r="I801" s="304">
        <f t="shared" ca="1" si="361"/>
        <v>105.6257518534196</v>
      </c>
      <c r="J801" s="306">
        <f t="shared" ca="1" si="362"/>
        <v>809.6451793302748</v>
      </c>
      <c r="K801" s="307">
        <f t="shared" ca="1" si="363"/>
        <v>-7.3084844688273014</v>
      </c>
      <c r="L801" s="304">
        <f t="shared" ca="1" si="348"/>
        <v>809.67816467901855</v>
      </c>
      <c r="M801" s="306">
        <f t="shared" ca="1" si="364"/>
        <v>-1.5564973545683471</v>
      </c>
      <c r="N801" s="304">
        <f t="shared" ca="1" si="365"/>
        <v>-89.180729240043931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1.7842999999999964</v>
      </c>
      <c r="T801" s="304">
        <f t="shared" ca="1" si="349"/>
        <v>17.503982999999966</v>
      </c>
      <c r="U801" s="311">
        <f t="shared" ca="1" si="350"/>
        <v>0</v>
      </c>
      <c r="V801" s="306">
        <f t="shared" ca="1" si="351"/>
        <v>1.225895616627442</v>
      </c>
      <c r="W801" s="304">
        <f t="shared" ca="1" si="352"/>
        <v>18.359470170101037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-0.48045391588993347</v>
      </c>
      <c r="AH801" s="304">
        <f t="shared" ca="1" si="376"/>
        <v>-10.289451035073732</v>
      </c>
    </row>
    <row r="802" spans="1:34" x14ac:dyDescent="0.2">
      <c r="A802" s="347">
        <f t="shared" ca="1" si="354"/>
        <v>1E-4</v>
      </c>
      <c r="B802" s="304">
        <f t="shared" ca="1" si="355"/>
        <v>58.014500000001021</v>
      </c>
      <c r="D802" s="306">
        <f t="shared" ca="1" si="356"/>
        <v>-0.14712358250398203</v>
      </c>
      <c r="E802" s="307">
        <f t="shared" ca="1" si="357"/>
        <v>0.4784006657372295</v>
      </c>
      <c r="F802" s="304">
        <f t="shared" ca="1" si="358"/>
        <v>0.50051228307268381</v>
      </c>
      <c r="G802" s="306">
        <f t="shared" ca="1" si="359"/>
        <v>1.5102735128333842</v>
      </c>
      <c r="H802" s="307">
        <f t="shared" ca="1" si="360"/>
        <v>-105.61490604467942</v>
      </c>
      <c r="I802" s="304">
        <f t="shared" ca="1" si="361"/>
        <v>105.62570380788014</v>
      </c>
      <c r="J802" s="306">
        <f t="shared" ca="1" si="362"/>
        <v>809.6451793302748</v>
      </c>
      <c r="K802" s="307">
        <f t="shared" ca="1" si="363"/>
        <v>-7.3190459618237727</v>
      </c>
      <c r="L802" s="304">
        <f t="shared" ca="1" si="348"/>
        <v>809.67826008022723</v>
      </c>
      <c r="M802" s="306">
        <f t="shared" ca="1" si="364"/>
        <v>-1.5564974873656989</v>
      </c>
      <c r="N802" s="304">
        <f t="shared" ca="1" si="365"/>
        <v>-89.18073684877173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1.7842999999999964</v>
      </c>
      <c r="T802" s="304">
        <f t="shared" ca="1" si="349"/>
        <v>17.503982999999966</v>
      </c>
      <c r="U802" s="311">
        <f t="shared" ca="1" si="350"/>
        <v>0</v>
      </c>
      <c r="V802" s="306">
        <f t="shared" ca="1" si="351"/>
        <v>1.2258969113570957</v>
      </c>
      <c r="W802" s="304">
        <f t="shared" ca="1" si="352"/>
        <v>18.359472858252342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-0.48045540385831487</v>
      </c>
      <c r="AH802" s="304">
        <f t="shared" ca="1" si="376"/>
        <v>-10.289452541669604</v>
      </c>
    </row>
    <row r="803" spans="1:34" x14ac:dyDescent="0.2">
      <c r="A803" s="347">
        <f t="shared" ca="1" si="354"/>
        <v>1E-4</v>
      </c>
      <c r="B803" s="304">
        <f t="shared" ca="1" si="355"/>
        <v>58.014600000001025</v>
      </c>
      <c r="D803" s="306">
        <f t="shared" ca="1" si="356"/>
        <v>-0.14712223777291403</v>
      </c>
      <c r="E803" s="307">
        <f t="shared" ca="1" si="357"/>
        <v>0.47840219167867382</v>
      </c>
      <c r="F803" s="304">
        <f t="shared" ca="1" si="358"/>
        <v>0.50051334632581812</v>
      </c>
      <c r="G803" s="306">
        <f t="shared" ca="1" si="359"/>
        <v>1.5102588006096069</v>
      </c>
      <c r="H803" s="307">
        <f t="shared" ca="1" si="360"/>
        <v>-105.61485820446025</v>
      </c>
      <c r="I803" s="304">
        <f t="shared" ca="1" si="361"/>
        <v>105.62565576219191</v>
      </c>
      <c r="J803" s="306">
        <f t="shared" ca="1" si="362"/>
        <v>809.6451793302748</v>
      </c>
      <c r="K803" s="307">
        <f t="shared" ca="1" si="363"/>
        <v>-7.3296074500362298</v>
      </c>
      <c r="L803" s="304">
        <f t="shared" ca="1" si="348"/>
        <v>809.67835561914615</v>
      </c>
      <c r="M803" s="306">
        <f t="shared" ca="1" si="364"/>
        <v>-1.5564976201618781</v>
      </c>
      <c r="N803" s="304">
        <f t="shared" ca="1" si="365"/>
        <v>-89.180744457432326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1.7842999999999964</v>
      </c>
      <c r="T803" s="304">
        <f t="shared" ca="1" si="349"/>
        <v>17.503982999999966</v>
      </c>
      <c r="U803" s="311">
        <f t="shared" ca="1" si="350"/>
        <v>0</v>
      </c>
      <c r="V803" s="306">
        <f t="shared" ca="1" si="351"/>
        <v>1.2258982060875312</v>
      </c>
      <c r="W803" s="304">
        <f t="shared" ca="1" si="352"/>
        <v>18.35947554633595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-0.48045689178908901</v>
      </c>
      <c r="AH803" s="304">
        <f t="shared" ca="1" si="376"/>
        <v>-10.289454048227528</v>
      </c>
    </row>
    <row r="804" spans="1:34" x14ac:dyDescent="0.2">
      <c r="A804" s="347">
        <f t="shared" ca="1" si="354"/>
        <v>1E-4</v>
      </c>
      <c r="B804" s="304">
        <f t="shared" ca="1" si="355"/>
        <v>58.014700000001028</v>
      </c>
      <c r="D804" s="306">
        <f t="shared" ca="1" si="356"/>
        <v>-0.14712089305296525</v>
      </c>
      <c r="E804" s="307">
        <f t="shared" ca="1" si="357"/>
        <v>0.47840371758183409</v>
      </c>
      <c r="F804" s="304">
        <f t="shared" ca="1" si="358"/>
        <v>0.50051440955163451</v>
      </c>
      <c r="G804" s="306">
        <f t="shared" ca="1" si="359"/>
        <v>1.5102440885203017</v>
      </c>
      <c r="H804" s="307">
        <f t="shared" ca="1" si="360"/>
        <v>-105.61481036408848</v>
      </c>
      <c r="I804" s="304">
        <f t="shared" ca="1" si="361"/>
        <v>105.62560771635486</v>
      </c>
      <c r="J804" s="306">
        <f t="shared" ca="1" si="362"/>
        <v>809.6451793302748</v>
      </c>
      <c r="K804" s="307">
        <f t="shared" ca="1" si="363"/>
        <v>-7.3401689334646569</v>
      </c>
      <c r="L804" s="304">
        <f t="shared" ca="1" si="348"/>
        <v>809.67845129577495</v>
      </c>
      <c r="M804" s="306">
        <f t="shared" ca="1" si="364"/>
        <v>-1.5564977529568842</v>
      </c>
      <c r="N804" s="304">
        <f t="shared" ca="1" si="365"/>
        <v>-89.180752066025718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1.7842999999999964</v>
      </c>
      <c r="T804" s="304">
        <f t="shared" ca="1" si="349"/>
        <v>17.503982999999966</v>
      </c>
      <c r="U804" s="311">
        <f t="shared" ca="1" si="350"/>
        <v>0</v>
      </c>
      <c r="V804" s="306">
        <f t="shared" ca="1" si="351"/>
        <v>1.2258995008187477</v>
      </c>
      <c r="W804" s="304">
        <f t="shared" ca="1" si="352"/>
        <v>18.35947823435184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 t="e">
        <f t="shared" ca="1" si="353"/>
        <v>#N/A</v>
      </c>
      <c r="AG804" s="306">
        <f t="shared" ca="1" si="375"/>
        <v>-0.48045837968226124</v>
      </c>
      <c r="AH804" s="304">
        <f t="shared" ca="1" si="376"/>
        <v>-10.289455554747512</v>
      </c>
    </row>
    <row r="805" spans="1:34" x14ac:dyDescent="0.2">
      <c r="A805" s="347">
        <f t="shared" ca="1" si="354"/>
        <v>1E-4</v>
      </c>
      <c r="B805" s="304">
        <f t="shared" ca="1" si="355"/>
        <v>58.014800000001031</v>
      </c>
      <c r="D805" s="306">
        <f t="shared" ca="1" si="356"/>
        <v>-0.14711954834414009</v>
      </c>
      <c r="E805" s="307">
        <f t="shared" ca="1" si="357"/>
        <v>0.47840524344669966</v>
      </c>
      <c r="F805" s="304">
        <f t="shared" ca="1" si="358"/>
        <v>0.50051547275012365</v>
      </c>
      <c r="G805" s="306">
        <f t="shared" ca="1" si="359"/>
        <v>1.5102293765654673</v>
      </c>
      <c r="H805" s="307">
        <f t="shared" ca="1" si="360"/>
        <v>-105.61476252356414</v>
      </c>
      <c r="I805" s="304">
        <f t="shared" ca="1" si="361"/>
        <v>105.62555967036903</v>
      </c>
      <c r="J805" s="306">
        <f t="shared" ca="1" si="362"/>
        <v>809.6451793302748</v>
      </c>
      <c r="K805" s="307">
        <f t="shared" ca="1" si="363"/>
        <v>-7.3507304121090398</v>
      </c>
      <c r="L805" s="304">
        <f t="shared" ca="1" si="348"/>
        <v>809.67854711011353</v>
      </c>
      <c r="M805" s="306">
        <f t="shared" ca="1" si="364"/>
        <v>-1.5564978857507177</v>
      </c>
      <c r="N805" s="304">
        <f t="shared" ca="1" si="365"/>
        <v>-89.180759674551922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1.7842999999999964</v>
      </c>
      <c r="T805" s="304">
        <f t="shared" ca="1" si="349"/>
        <v>17.503982999999966</v>
      </c>
      <c r="U805" s="311">
        <f t="shared" ca="1" si="350"/>
        <v>0</v>
      </c>
      <c r="V805" s="306">
        <f t="shared" ca="1" si="351"/>
        <v>1.2259007955507459</v>
      </c>
      <c r="W805" s="304">
        <f t="shared" ca="1" si="352"/>
        <v>18.359480922300033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-0.48045986753781733</v>
      </c>
      <c r="AH805" s="304">
        <f t="shared" ca="1" si="376"/>
        <v>-10.289457061229545</v>
      </c>
    </row>
    <row r="806" spans="1:34" x14ac:dyDescent="0.2">
      <c r="A806" s="347">
        <f t="shared" ca="1" si="354"/>
        <v>1E-4</v>
      </c>
      <c r="B806" s="304">
        <f t="shared" ca="1" si="355"/>
        <v>58.014900000001035</v>
      </c>
      <c r="D806" s="306">
        <f t="shared" ca="1" si="356"/>
        <v>-0.14711820364643416</v>
      </c>
      <c r="E806" s="307">
        <f t="shared" ca="1" si="357"/>
        <v>0.47840676927327941</v>
      </c>
      <c r="F806" s="304">
        <f t="shared" ca="1" si="358"/>
        <v>0.50051653592129253</v>
      </c>
      <c r="G806" s="306">
        <f t="shared" ca="1" si="359"/>
        <v>1.5102146647451027</v>
      </c>
      <c r="H806" s="307">
        <f t="shared" ca="1" si="360"/>
        <v>-105.61471468288721</v>
      </c>
      <c r="I806" s="304">
        <f t="shared" ca="1" si="361"/>
        <v>105.62551162423443</v>
      </c>
      <c r="J806" s="306">
        <f t="shared" ca="1" si="362"/>
        <v>809.6451793302748</v>
      </c>
      <c r="K806" s="307">
        <f t="shared" ca="1" si="363"/>
        <v>-7.3612918859693623</v>
      </c>
      <c r="L806" s="304">
        <f t="shared" ca="1" si="348"/>
        <v>809.67864306216154</v>
      </c>
      <c r="M806" s="306">
        <f t="shared" ca="1" si="364"/>
        <v>-1.5564980185433783</v>
      </c>
      <c r="N806" s="304">
        <f t="shared" ca="1" si="365"/>
        <v>-89.180767283010923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1.7842999999999964</v>
      </c>
      <c r="T806" s="304">
        <f t="shared" ca="1" si="349"/>
        <v>17.503982999999966</v>
      </c>
      <c r="U806" s="311">
        <f t="shared" ca="1" si="350"/>
        <v>0</v>
      </c>
      <c r="V806" s="306">
        <f t="shared" ca="1" si="351"/>
        <v>1.2259020902835256</v>
      </c>
      <c r="W806" s="304">
        <f t="shared" ca="1" si="352"/>
        <v>18.359483610180533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-0.48046135535576973</v>
      </c>
      <c r="AH806" s="304">
        <f t="shared" ca="1" si="376"/>
        <v>-10.289458567673636</v>
      </c>
    </row>
    <row r="807" spans="1:34" x14ac:dyDescent="0.2">
      <c r="A807" s="347">
        <f t="shared" ca="1" si="354"/>
        <v>1E-4</v>
      </c>
      <c r="B807" s="304">
        <f t="shared" ca="1" si="355"/>
        <v>58.015000000001038</v>
      </c>
      <c r="D807" s="306">
        <f t="shared" ca="1" si="356"/>
        <v>-0.14711685895984977</v>
      </c>
      <c r="E807" s="307">
        <f t="shared" ca="1" si="357"/>
        <v>0.47840829506157512</v>
      </c>
      <c r="F807" s="304">
        <f t="shared" ca="1" si="358"/>
        <v>0.50051759906514326</v>
      </c>
      <c r="G807" s="306">
        <f t="shared" ca="1" si="359"/>
        <v>1.5101999530592067</v>
      </c>
      <c r="H807" s="307">
        <f t="shared" ca="1" si="360"/>
        <v>-105.6146668420577</v>
      </c>
      <c r="I807" s="304">
        <f t="shared" ca="1" si="361"/>
        <v>105.62546357795104</v>
      </c>
      <c r="J807" s="306">
        <f t="shared" ca="1" si="362"/>
        <v>809.6451793302748</v>
      </c>
      <c r="K807" s="307">
        <f t="shared" ca="1" si="363"/>
        <v>-7.3718533550456096</v>
      </c>
      <c r="L807" s="304">
        <f t="shared" ca="1" si="348"/>
        <v>809.67873915191899</v>
      </c>
      <c r="M807" s="306">
        <f t="shared" ca="1" si="364"/>
        <v>-1.5564981513348661</v>
      </c>
      <c r="N807" s="304">
        <f t="shared" ca="1" si="365"/>
        <v>-89.180774891402734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1.7842999999999964</v>
      </c>
      <c r="T807" s="304">
        <f t="shared" ca="1" si="349"/>
        <v>17.503982999999966</v>
      </c>
      <c r="U807" s="311">
        <f t="shared" ca="1" si="350"/>
        <v>0</v>
      </c>
      <c r="V807" s="306">
        <f t="shared" ca="1" si="351"/>
        <v>1.2259033850170866</v>
      </c>
      <c r="W807" s="304">
        <f t="shared" ca="1" si="352"/>
        <v>18.359486297993321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-0.48046284313612375</v>
      </c>
      <c r="AH807" s="304">
        <f t="shared" ca="1" si="376"/>
        <v>-10.289460074079789</v>
      </c>
    </row>
    <row r="808" spans="1:34" x14ac:dyDescent="0.2">
      <c r="A808" s="347">
        <f t="shared" ca="1" si="354"/>
        <v>1E-4</v>
      </c>
      <c r="B808" s="304">
        <f t="shared" ca="1" si="355"/>
        <v>58.015100000001041</v>
      </c>
      <c r="D808" s="306">
        <f t="shared" ca="1" si="356"/>
        <v>-0.14711551428438688</v>
      </c>
      <c r="E808" s="307">
        <f t="shared" ca="1" si="357"/>
        <v>0.47840982081157968</v>
      </c>
      <c r="F808" s="304">
        <f t="shared" ca="1" si="358"/>
        <v>0.50051866218166874</v>
      </c>
      <c r="G808" s="306">
        <f t="shared" ca="1" si="359"/>
        <v>1.5101852415077783</v>
      </c>
      <c r="H808" s="307">
        <f t="shared" ca="1" si="360"/>
        <v>-105.61461900107562</v>
      </c>
      <c r="I808" s="304">
        <f t="shared" ca="1" si="361"/>
        <v>105.62541553151888</v>
      </c>
      <c r="J808" s="306">
        <f t="shared" ca="1" si="362"/>
        <v>809.6451793302748</v>
      </c>
      <c r="K808" s="307">
        <f t="shared" ca="1" si="363"/>
        <v>-7.3824148193377663</v>
      </c>
      <c r="L808" s="304">
        <f t="shared" ca="1" si="348"/>
        <v>809.67883537938519</v>
      </c>
      <c r="M808" s="306">
        <f t="shared" ca="1" si="364"/>
        <v>-1.5564982841251811</v>
      </c>
      <c r="N808" s="304">
        <f t="shared" ca="1" si="365"/>
        <v>-89.180782499727343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1.7842999999999964</v>
      </c>
      <c r="T808" s="304">
        <f t="shared" ca="1" si="349"/>
        <v>17.503982999999966</v>
      </c>
      <c r="U808" s="311">
        <f t="shared" ca="1" si="350"/>
        <v>0</v>
      </c>
      <c r="V808" s="306">
        <f t="shared" ca="1" si="351"/>
        <v>1.2259046797514292</v>
      </c>
      <c r="W808" s="304">
        <f t="shared" ca="1" si="352"/>
        <v>18.359488985738416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-0.4804643308788652</v>
      </c>
      <c r="AH808" s="304">
        <f t="shared" ca="1" si="376"/>
        <v>-10.289461580447995</v>
      </c>
    </row>
    <row r="809" spans="1:34" x14ac:dyDescent="0.2">
      <c r="A809" s="347">
        <f t="shared" ca="1" si="354"/>
        <v>1E-4</v>
      </c>
      <c r="B809" s="304">
        <f t="shared" ca="1" si="355"/>
        <v>58.015200000001045</v>
      </c>
      <c r="D809" s="306">
        <f t="shared" ca="1" si="356"/>
        <v>-0.14711416962004559</v>
      </c>
      <c r="E809" s="307">
        <f t="shared" ca="1" si="357"/>
        <v>0.47841134652330375</v>
      </c>
      <c r="F809" s="304">
        <f t="shared" ca="1" si="358"/>
        <v>0.50051972527087896</v>
      </c>
      <c r="G809" s="306">
        <f t="shared" ca="1" si="359"/>
        <v>1.5101705300908164</v>
      </c>
      <c r="H809" s="307">
        <f t="shared" ca="1" si="360"/>
        <v>-105.61457115994097</v>
      </c>
      <c r="I809" s="304">
        <f t="shared" ca="1" si="361"/>
        <v>105.62536748493797</v>
      </c>
      <c r="J809" s="306">
        <f t="shared" ca="1" si="362"/>
        <v>809.6451793302748</v>
      </c>
      <c r="K809" s="307">
        <f t="shared" ca="1" si="363"/>
        <v>-7.3929762788458175</v>
      </c>
      <c r="L809" s="304">
        <f t="shared" ca="1" si="348"/>
        <v>809.67893174456037</v>
      </c>
      <c r="M809" s="306">
        <f t="shared" ca="1" si="364"/>
        <v>-1.5564984169143234</v>
      </c>
      <c r="N809" s="304">
        <f t="shared" ca="1" si="365"/>
        <v>-89.180790107984762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1.7842999999999964</v>
      </c>
      <c r="T809" s="304">
        <f t="shared" ca="1" si="349"/>
        <v>17.503982999999966</v>
      </c>
      <c r="U809" s="311">
        <f t="shared" ca="1" si="350"/>
        <v>0</v>
      </c>
      <c r="V809" s="306">
        <f t="shared" ca="1" si="351"/>
        <v>1.2259059744865533</v>
      </c>
      <c r="W809" s="304">
        <f t="shared" ca="1" si="352"/>
        <v>18.359491673415818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-0.4804658185840065</v>
      </c>
      <c r="AH809" s="304">
        <f t="shared" ca="1" si="376"/>
        <v>-10.289463086778262</v>
      </c>
    </row>
    <row r="810" spans="1:34" x14ac:dyDescent="0.2">
      <c r="A810" s="347">
        <f t="shared" ca="1" si="354"/>
        <v>1E-4</v>
      </c>
      <c r="B810" s="304">
        <f t="shared" ca="1" si="355"/>
        <v>58.015300000001048</v>
      </c>
      <c r="D810" s="306">
        <f t="shared" ca="1" si="356"/>
        <v>-0.14711282496682362</v>
      </c>
      <c r="E810" s="307">
        <f t="shared" ca="1" si="357"/>
        <v>0.478412872196742</v>
      </c>
      <c r="F810" s="304">
        <f t="shared" ca="1" si="358"/>
        <v>0.50052078833276792</v>
      </c>
      <c r="G810" s="306">
        <f t="shared" ca="1" si="359"/>
        <v>1.5101558188083197</v>
      </c>
      <c r="H810" s="307">
        <f t="shared" ca="1" si="360"/>
        <v>-105.61452331865375</v>
      </c>
      <c r="I810" s="304">
        <f t="shared" ca="1" si="361"/>
        <v>105.62531943820827</v>
      </c>
      <c r="J810" s="306">
        <f t="shared" ca="1" si="362"/>
        <v>809.6451793302748</v>
      </c>
      <c r="K810" s="307">
        <f t="shared" ca="1" si="363"/>
        <v>-7.4035377335697472</v>
      </c>
      <c r="L810" s="304">
        <f t="shared" ca="1" si="348"/>
        <v>809.67902824744397</v>
      </c>
      <c r="M810" s="306">
        <f t="shared" ca="1" si="364"/>
        <v>-1.556498549702293</v>
      </c>
      <c r="N810" s="304">
        <f t="shared" ca="1" si="365"/>
        <v>-89.180797716174979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1.7842999999999964</v>
      </c>
      <c r="T810" s="304">
        <f t="shared" ca="1" si="349"/>
        <v>17.503982999999966</v>
      </c>
      <c r="U810" s="311">
        <f t="shared" ca="1" si="350"/>
        <v>0</v>
      </c>
      <c r="V810" s="306">
        <f t="shared" ca="1" si="351"/>
        <v>1.2259072692224586</v>
      </c>
      <c r="W810" s="304">
        <f t="shared" ca="1" si="352"/>
        <v>18.359494361025515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-0.48046730625154588</v>
      </c>
      <c r="AH810" s="304">
        <f t="shared" ca="1" si="376"/>
        <v>-10.289464593070591</v>
      </c>
    </row>
    <row r="811" spans="1:34" x14ac:dyDescent="0.2">
      <c r="A811" s="347">
        <f t="shared" ca="1" si="354"/>
        <v>1E-4</v>
      </c>
      <c r="B811" s="304">
        <f t="shared" ca="1" si="355"/>
        <v>58.015400000001051</v>
      </c>
      <c r="D811" s="306">
        <f t="shared" ca="1" si="356"/>
        <v>-0.14711148032472324</v>
      </c>
      <c r="E811" s="307">
        <f t="shared" ca="1" si="357"/>
        <v>0.47841439783189088</v>
      </c>
      <c r="F811" s="304">
        <f t="shared" ca="1" si="358"/>
        <v>0.50052185136733263</v>
      </c>
      <c r="G811" s="306">
        <f t="shared" ca="1" si="359"/>
        <v>1.5101411076602873</v>
      </c>
      <c r="H811" s="307">
        <f t="shared" ca="1" si="360"/>
        <v>-105.61447547721397</v>
      </c>
      <c r="I811" s="304">
        <f t="shared" ca="1" si="361"/>
        <v>105.62527139132982</v>
      </c>
      <c r="J811" s="306">
        <f t="shared" ca="1" si="362"/>
        <v>809.6451793302748</v>
      </c>
      <c r="K811" s="307">
        <f t="shared" ca="1" si="363"/>
        <v>-7.4140991835095402</v>
      </c>
      <c r="L811" s="304">
        <f t="shared" ca="1" si="348"/>
        <v>809.67912488803597</v>
      </c>
      <c r="M811" s="306">
        <f t="shared" ca="1" si="364"/>
        <v>-1.5564986824890898</v>
      </c>
      <c r="N811" s="304">
        <f t="shared" ca="1" si="365"/>
        <v>-89.180805324298021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1.7842999999999964</v>
      </c>
      <c r="T811" s="304">
        <f t="shared" ca="1" si="349"/>
        <v>17.503982999999966</v>
      </c>
      <c r="U811" s="311">
        <f t="shared" ca="1" si="350"/>
        <v>0</v>
      </c>
      <c r="V811" s="306">
        <f t="shared" ca="1" si="351"/>
        <v>1.2259085639591452</v>
      </c>
      <c r="W811" s="304">
        <f t="shared" ca="1" si="352"/>
        <v>18.359497048567519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-0.48046879388147801</v>
      </c>
      <c r="AH811" s="304">
        <f t="shared" ca="1" si="376"/>
        <v>-10.289466099324974</v>
      </c>
    </row>
    <row r="812" spans="1:34" x14ac:dyDescent="0.2">
      <c r="A812" s="347">
        <f t="shared" ca="1" si="354"/>
        <v>1E-4</v>
      </c>
      <c r="B812" s="304">
        <f t="shared" ca="1" si="355"/>
        <v>58.015500000001055</v>
      </c>
      <c r="D812" s="306">
        <f t="shared" ca="1" si="356"/>
        <v>-0.14711013569374223</v>
      </c>
      <c r="E812" s="307">
        <f t="shared" ca="1" si="357"/>
        <v>0.47841592342875927</v>
      </c>
      <c r="F812" s="304">
        <f t="shared" ca="1" si="358"/>
        <v>0.50052291437458063</v>
      </c>
      <c r="G812" s="306">
        <f t="shared" ca="1" si="359"/>
        <v>1.510126396646718</v>
      </c>
      <c r="H812" s="307">
        <f t="shared" ca="1" si="360"/>
        <v>-105.61442763562162</v>
      </c>
      <c r="I812" s="304">
        <f t="shared" ca="1" si="361"/>
        <v>105.6252233443026</v>
      </c>
      <c r="J812" s="306">
        <f t="shared" ca="1" si="362"/>
        <v>809.6451793302748</v>
      </c>
      <c r="K812" s="307">
        <f t="shared" ca="1" si="363"/>
        <v>-7.4246606286651824</v>
      </c>
      <c r="L812" s="304">
        <f t="shared" ca="1" si="348"/>
        <v>809.67922166633605</v>
      </c>
      <c r="M812" s="306">
        <f t="shared" ca="1" si="364"/>
        <v>-1.5564988152747139</v>
      </c>
      <c r="N812" s="304">
        <f t="shared" ca="1" si="365"/>
        <v>-89.180812932353859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1.7842999999999964</v>
      </c>
      <c r="T812" s="304">
        <f t="shared" ca="1" si="349"/>
        <v>17.503982999999966</v>
      </c>
      <c r="U812" s="311">
        <f t="shared" ca="1" si="350"/>
        <v>0</v>
      </c>
      <c r="V812" s="306">
        <f t="shared" ca="1" si="351"/>
        <v>1.2259098586966137</v>
      </c>
      <c r="W812" s="304">
        <f t="shared" ca="1" si="352"/>
        <v>18.359499736041833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-0.48047028147381177</v>
      </c>
      <c r="AH812" s="304">
        <f t="shared" ca="1" si="376"/>
        <v>-10.28946760554142</v>
      </c>
    </row>
    <row r="813" spans="1:34" x14ac:dyDescent="0.2">
      <c r="A813" s="347">
        <f t="shared" ca="1" si="354"/>
        <v>1E-4</v>
      </c>
      <c r="B813" s="304">
        <f t="shared" ca="1" si="355"/>
        <v>58.015600000001058</v>
      </c>
      <c r="D813" s="306">
        <f t="shared" ca="1" si="356"/>
        <v>-0.14710879107388297</v>
      </c>
      <c r="E813" s="307">
        <f t="shared" ca="1" si="357"/>
        <v>0.47841744898734717</v>
      </c>
      <c r="F813" s="304">
        <f t="shared" ca="1" si="358"/>
        <v>0.50052397735451226</v>
      </c>
      <c r="G813" s="306">
        <f t="shared" ca="1" si="359"/>
        <v>1.5101116857676107</v>
      </c>
      <c r="H813" s="307">
        <f t="shared" ca="1" si="360"/>
        <v>-105.61437979387672</v>
      </c>
      <c r="I813" s="304">
        <f t="shared" ca="1" si="361"/>
        <v>105.62517529712663</v>
      </c>
      <c r="J813" s="306">
        <f t="shared" ca="1" si="362"/>
        <v>809.6451793302748</v>
      </c>
      <c r="K813" s="307">
        <f t="shared" ca="1" si="363"/>
        <v>-7.4352220690366577</v>
      </c>
      <c r="L813" s="304">
        <f t="shared" ca="1" si="348"/>
        <v>809.67931858234385</v>
      </c>
      <c r="M813" s="306">
        <f t="shared" ca="1" si="364"/>
        <v>-1.5564989480591651</v>
      </c>
      <c r="N813" s="304">
        <f t="shared" ca="1" si="365"/>
        <v>-89.180820540342495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1.7842999999999964</v>
      </c>
      <c r="T813" s="304">
        <f t="shared" ca="1" si="349"/>
        <v>17.503982999999966</v>
      </c>
      <c r="U813" s="311">
        <f t="shared" ca="1" si="350"/>
        <v>0</v>
      </c>
      <c r="V813" s="306">
        <f t="shared" ca="1" si="351"/>
        <v>1.2259111534348637</v>
      </c>
      <c r="W813" s="304">
        <f t="shared" ca="1" si="352"/>
        <v>18.359502423448461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-0.48047176902854538</v>
      </c>
      <c r="AH813" s="304">
        <f t="shared" ca="1" si="376"/>
        <v>-10.28946911171993</v>
      </c>
    </row>
    <row r="814" spans="1:34" x14ac:dyDescent="0.2">
      <c r="A814" s="347">
        <f t="shared" ca="1" si="354"/>
        <v>1E-4</v>
      </c>
      <c r="B814" s="304">
        <f t="shared" ca="1" si="355"/>
        <v>58.015700000001061</v>
      </c>
      <c r="D814" s="306">
        <f t="shared" ca="1" si="356"/>
        <v>-0.14710744646514542</v>
      </c>
      <c r="E814" s="307">
        <f t="shared" ca="1" si="357"/>
        <v>0.47841897450765281</v>
      </c>
      <c r="F814" s="304">
        <f t="shared" ca="1" si="358"/>
        <v>0.50052504030712563</v>
      </c>
      <c r="G814" s="306">
        <f t="shared" ca="1" si="359"/>
        <v>1.5100969750229642</v>
      </c>
      <c r="H814" s="307">
        <f t="shared" ca="1" si="360"/>
        <v>-105.61433195197927</v>
      </c>
      <c r="I814" s="304">
        <f t="shared" ca="1" si="361"/>
        <v>105.62512724980189</v>
      </c>
      <c r="J814" s="306">
        <f t="shared" ca="1" si="362"/>
        <v>809.6451793302748</v>
      </c>
      <c r="K814" s="307">
        <f t="shared" ca="1" si="363"/>
        <v>-7.4457835046239502</v>
      </c>
      <c r="L814" s="304">
        <f t="shared" ca="1" si="348"/>
        <v>809.67941563605939</v>
      </c>
      <c r="M814" s="306">
        <f t="shared" ca="1" si="364"/>
        <v>-1.5564990808424437</v>
      </c>
      <c r="N814" s="304">
        <f t="shared" ca="1" si="365"/>
        <v>-89.180828148263956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1.7842999999999964</v>
      </c>
      <c r="T814" s="304">
        <f t="shared" ca="1" si="349"/>
        <v>17.503982999999966</v>
      </c>
      <c r="U814" s="311">
        <f t="shared" ca="1" si="350"/>
        <v>0</v>
      </c>
      <c r="V814" s="306">
        <f t="shared" ca="1" si="351"/>
        <v>1.2259124481738946</v>
      </c>
      <c r="W814" s="304">
        <f t="shared" ca="1" si="352"/>
        <v>18.359505110787378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 t="e">
        <f t="shared" ca="1" si="353"/>
        <v>#N/A</v>
      </c>
      <c r="AG814" s="306">
        <f t="shared" ca="1" si="375"/>
        <v>-0.48047325654568063</v>
      </c>
      <c r="AH814" s="304">
        <f t="shared" ca="1" si="376"/>
        <v>-10.289470617860504</v>
      </c>
    </row>
    <row r="815" spans="1:34" x14ac:dyDescent="0.2">
      <c r="A815" s="347">
        <f t="shared" ca="1" si="354"/>
        <v>1E-4</v>
      </c>
      <c r="B815" s="304">
        <f t="shared" ca="1" si="355"/>
        <v>58.015800000001065</v>
      </c>
      <c r="D815" s="306">
        <f t="shared" ca="1" si="356"/>
        <v>-0.14710610186752723</v>
      </c>
      <c r="E815" s="307">
        <f t="shared" ca="1" si="357"/>
        <v>0.47842049998966907</v>
      </c>
      <c r="F815" s="304">
        <f t="shared" ca="1" si="358"/>
        <v>0.50052610323241309</v>
      </c>
      <c r="G815" s="306">
        <f t="shared" ca="1" si="359"/>
        <v>1.5100822644127776</v>
      </c>
      <c r="H815" s="307">
        <f t="shared" ca="1" si="360"/>
        <v>-105.61428410992927</v>
      </c>
      <c r="I815" s="304">
        <f t="shared" ca="1" si="361"/>
        <v>105.62507920232842</v>
      </c>
      <c r="J815" s="306">
        <f t="shared" ca="1" si="362"/>
        <v>809.6451793302748</v>
      </c>
      <c r="K815" s="307">
        <f t="shared" ca="1" si="363"/>
        <v>-7.4563449354270457</v>
      </c>
      <c r="L815" s="304">
        <f t="shared" ca="1" si="348"/>
        <v>809.6795128274822</v>
      </c>
      <c r="M815" s="306">
        <f t="shared" ca="1" si="364"/>
        <v>-1.5564992136245497</v>
      </c>
      <c r="N815" s="304">
        <f t="shared" ca="1" si="365"/>
        <v>-89.180835756118213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1.7842999999999964</v>
      </c>
      <c r="T815" s="304">
        <f t="shared" ca="1" si="349"/>
        <v>17.503982999999966</v>
      </c>
      <c r="U815" s="311">
        <f t="shared" ca="1" si="350"/>
        <v>0</v>
      </c>
      <c r="V815" s="306">
        <f t="shared" ca="1" si="351"/>
        <v>1.2259137429137075</v>
      </c>
      <c r="W815" s="304">
        <f t="shared" ca="1" si="352"/>
        <v>18.359507798058619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-0.48047474402520685</v>
      </c>
      <c r="AH815" s="304">
        <f t="shared" ca="1" si="376"/>
        <v>-10.289472123963131</v>
      </c>
    </row>
    <row r="816" spans="1:34" x14ac:dyDescent="0.2">
      <c r="A816" s="347">
        <f t="shared" ca="1" si="354"/>
        <v>1E-4</v>
      </c>
      <c r="B816" s="304">
        <f t="shared" ca="1" si="355"/>
        <v>58.015900000001068</v>
      </c>
      <c r="D816" s="306">
        <f t="shared" ca="1" si="356"/>
        <v>-0.14710475728102868</v>
      </c>
      <c r="E816" s="307">
        <f t="shared" ca="1" si="357"/>
        <v>0.47842202543341195</v>
      </c>
      <c r="F816" s="304">
        <f t="shared" ca="1" si="358"/>
        <v>0.50052716613038961</v>
      </c>
      <c r="G816" s="306">
        <f t="shared" ca="1" si="359"/>
        <v>1.5100675539370494</v>
      </c>
      <c r="H816" s="307">
        <f t="shared" ca="1" si="360"/>
        <v>-105.61423626772672</v>
      </c>
      <c r="I816" s="304">
        <f t="shared" ca="1" si="361"/>
        <v>105.62503115470621</v>
      </c>
      <c r="J816" s="306">
        <f t="shared" ca="1" si="362"/>
        <v>809.6451793302748</v>
      </c>
      <c r="K816" s="307">
        <f t="shared" ca="1" si="363"/>
        <v>-7.4669063614459281</v>
      </c>
      <c r="L816" s="304">
        <f t="shared" ca="1" si="348"/>
        <v>809.67961015661217</v>
      </c>
      <c r="M816" s="306">
        <f t="shared" ca="1" si="364"/>
        <v>-1.5564993464054828</v>
      </c>
      <c r="N816" s="304">
        <f t="shared" ca="1" si="365"/>
        <v>-89.180843363905282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1.7842999999999964</v>
      </c>
      <c r="T816" s="304">
        <f t="shared" ca="1" si="349"/>
        <v>17.503982999999966</v>
      </c>
      <c r="U816" s="311">
        <f t="shared" ca="1" si="350"/>
        <v>0</v>
      </c>
      <c r="V816" s="306">
        <f t="shared" ca="1" si="351"/>
        <v>1.2259150376543013</v>
      </c>
      <c r="W816" s="304">
        <f t="shared" ca="1" si="352"/>
        <v>18.359510485262163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-0.48047623146714002</v>
      </c>
      <c r="AH816" s="304">
        <f t="shared" ca="1" si="376"/>
        <v>-10.28947363002783</v>
      </c>
    </row>
    <row r="817" spans="1:34" x14ac:dyDescent="0.2">
      <c r="A817" s="347">
        <f t="shared" ca="1" si="354"/>
        <v>1E-4</v>
      </c>
      <c r="B817" s="304">
        <f t="shared" ca="1" si="355"/>
        <v>58.016000000001071</v>
      </c>
      <c r="D817" s="306">
        <f t="shared" ca="1" si="356"/>
        <v>-0.14710341270565183</v>
      </c>
      <c r="E817" s="307">
        <f t="shared" ca="1" si="357"/>
        <v>0.47842355083887078</v>
      </c>
      <c r="F817" s="304">
        <f t="shared" ca="1" si="358"/>
        <v>0.50052822900104532</v>
      </c>
      <c r="G817" s="306">
        <f t="shared" ca="1" si="359"/>
        <v>1.5100528435957787</v>
      </c>
      <c r="H817" s="307">
        <f t="shared" ca="1" si="360"/>
        <v>-105.61418842537164</v>
      </c>
      <c r="I817" s="304">
        <f t="shared" ca="1" si="361"/>
        <v>105.62498310693525</v>
      </c>
      <c r="J817" s="306">
        <f t="shared" ca="1" si="362"/>
        <v>809.6451793302748</v>
      </c>
      <c r="K817" s="307">
        <f t="shared" ca="1" si="363"/>
        <v>-7.4774677826805833</v>
      </c>
      <c r="L817" s="304">
        <f t="shared" ca="1" si="348"/>
        <v>809.67970762344896</v>
      </c>
      <c r="M817" s="306">
        <f t="shared" ca="1" si="364"/>
        <v>-1.5564994791852433</v>
      </c>
      <c r="N817" s="304">
        <f t="shared" ca="1" si="365"/>
        <v>-89.180850971625176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1.7842999999999964</v>
      </c>
      <c r="T817" s="304">
        <f t="shared" ca="1" si="349"/>
        <v>17.503982999999966</v>
      </c>
      <c r="U817" s="311">
        <f t="shared" ca="1" si="350"/>
        <v>0</v>
      </c>
      <c r="V817" s="306">
        <f t="shared" ca="1" si="351"/>
        <v>1.2259163323956765</v>
      </c>
      <c r="W817" s="304">
        <f t="shared" ca="1" si="352"/>
        <v>18.359513172398014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-0.48047771887147306</v>
      </c>
      <c r="AH817" s="304">
        <f t="shared" ca="1" si="376"/>
        <v>-10.289475136054588</v>
      </c>
    </row>
    <row r="818" spans="1:34" x14ac:dyDescent="0.2">
      <c r="A818" s="347">
        <f t="shared" ca="1" si="354"/>
        <v>1E-4</v>
      </c>
      <c r="B818" s="304">
        <f t="shared" ca="1" si="355"/>
        <v>58.016100000001074</v>
      </c>
      <c r="D818" s="306">
        <f t="shared" ca="1" si="356"/>
        <v>-0.14710206814139451</v>
      </c>
      <c r="E818" s="307">
        <f t="shared" ca="1" si="357"/>
        <v>0.47842507620604557</v>
      </c>
      <c r="F818" s="304">
        <f t="shared" ca="1" si="358"/>
        <v>0.50052929184437944</v>
      </c>
      <c r="G818" s="306">
        <f t="shared" ca="1" si="359"/>
        <v>1.5100381333889645</v>
      </c>
      <c r="H818" s="307">
        <f t="shared" ca="1" si="360"/>
        <v>-105.61414058286401</v>
      </c>
      <c r="I818" s="304">
        <f t="shared" ca="1" si="361"/>
        <v>105.62493505901554</v>
      </c>
      <c r="J818" s="306">
        <f t="shared" ca="1" si="362"/>
        <v>809.6451793302748</v>
      </c>
      <c r="K818" s="307">
        <f t="shared" ca="1" si="363"/>
        <v>-7.4880291991309953</v>
      </c>
      <c r="L818" s="304">
        <f t="shared" ca="1" si="348"/>
        <v>809.67980522799246</v>
      </c>
      <c r="M818" s="306">
        <f t="shared" ca="1" si="364"/>
        <v>-1.5564996119638312</v>
      </c>
      <c r="N818" s="304">
        <f t="shared" ca="1" si="365"/>
        <v>-89.180858579277867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1.7842999999999964</v>
      </c>
      <c r="T818" s="304">
        <f t="shared" ca="1" si="349"/>
        <v>17.503982999999966</v>
      </c>
      <c r="U818" s="311">
        <f t="shared" ca="1" si="350"/>
        <v>0</v>
      </c>
      <c r="V818" s="306">
        <f t="shared" ca="1" si="351"/>
        <v>1.2259176271378338</v>
      </c>
      <c r="W818" s="304">
        <f t="shared" ca="1" si="352"/>
        <v>18.359515859466189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-0.48047920623820239</v>
      </c>
      <c r="AH818" s="304">
        <f t="shared" ca="1" si="376"/>
        <v>-10.289476642043407</v>
      </c>
    </row>
    <row r="819" spans="1:34" x14ac:dyDescent="0.2">
      <c r="A819" s="347">
        <f t="shared" ca="1" si="354"/>
        <v>1E-4</v>
      </c>
      <c r="B819" s="304">
        <f t="shared" ca="1" si="355"/>
        <v>58.016200000001078</v>
      </c>
      <c r="D819" s="306">
        <f t="shared" ca="1" si="356"/>
        <v>-0.14710072358825685</v>
      </c>
      <c r="E819" s="307">
        <f t="shared" ca="1" si="357"/>
        <v>0.47842660153494876</v>
      </c>
      <c r="F819" s="304">
        <f t="shared" ca="1" si="358"/>
        <v>0.50053035466040352</v>
      </c>
      <c r="G819" s="306">
        <f t="shared" ca="1" si="359"/>
        <v>1.5100234233166057</v>
      </c>
      <c r="H819" s="307">
        <f t="shared" ca="1" si="360"/>
        <v>-105.61409274020386</v>
      </c>
      <c r="I819" s="304">
        <f t="shared" ca="1" si="361"/>
        <v>105.62488701094712</v>
      </c>
      <c r="J819" s="306">
        <f t="shared" ca="1" si="362"/>
        <v>809.6451793302748</v>
      </c>
      <c r="K819" s="307">
        <f t="shared" ca="1" si="363"/>
        <v>-7.4985906107971489</v>
      </c>
      <c r="L819" s="304">
        <f t="shared" ca="1" si="348"/>
        <v>809.67990297024244</v>
      </c>
      <c r="M819" s="306">
        <f t="shared" ca="1" si="364"/>
        <v>-1.5564997447412463</v>
      </c>
      <c r="N819" s="304">
        <f t="shared" ca="1" si="365"/>
        <v>-89.180866186863369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1.7842999999999964</v>
      </c>
      <c r="T819" s="304">
        <f t="shared" ca="1" si="349"/>
        <v>17.503982999999966</v>
      </c>
      <c r="U819" s="311">
        <f t="shared" ca="1" si="350"/>
        <v>0</v>
      </c>
      <c r="V819" s="306">
        <f t="shared" ca="1" si="351"/>
        <v>1.2259189218807722</v>
      </c>
      <c r="W819" s="304">
        <f t="shared" ca="1" si="352"/>
        <v>18.359518546466674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-0.48048069356734224</v>
      </c>
      <c r="AH819" s="304">
        <f t="shared" ca="1" si="376"/>
        <v>-10.289478147994298</v>
      </c>
    </row>
    <row r="820" spans="1:34" x14ac:dyDescent="0.2">
      <c r="A820" s="347">
        <f t="shared" ca="1" si="354"/>
        <v>1E-4</v>
      </c>
      <c r="B820" s="304">
        <f t="shared" ca="1" si="355"/>
        <v>58.016300000001081</v>
      </c>
      <c r="D820" s="306">
        <f t="shared" ca="1" si="356"/>
        <v>-0.14709937904624104</v>
      </c>
      <c r="E820" s="307">
        <f t="shared" ca="1" si="357"/>
        <v>0.47842812682556968</v>
      </c>
      <c r="F820" s="304">
        <f t="shared" ca="1" si="358"/>
        <v>0.5005314174491079</v>
      </c>
      <c r="G820" s="306">
        <f t="shared" ca="1" si="359"/>
        <v>1.510008713378701</v>
      </c>
      <c r="H820" s="307">
        <f t="shared" ca="1" si="360"/>
        <v>-105.61404489739118</v>
      </c>
      <c r="I820" s="304">
        <f t="shared" ca="1" si="361"/>
        <v>105.62483896272997</v>
      </c>
      <c r="J820" s="306">
        <f t="shared" ca="1" si="362"/>
        <v>809.6451793302748</v>
      </c>
      <c r="K820" s="307">
        <f t="shared" ca="1" si="363"/>
        <v>-7.5091520176790283</v>
      </c>
      <c r="L820" s="304">
        <f t="shared" ca="1" si="348"/>
        <v>809.68000085019855</v>
      </c>
      <c r="M820" s="306">
        <f t="shared" ca="1" si="364"/>
        <v>-1.556499877517489</v>
      </c>
      <c r="N820" s="304">
        <f t="shared" ca="1" si="365"/>
        <v>-89.180873794381696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1.7842999999999964</v>
      </c>
      <c r="T820" s="304">
        <f t="shared" ca="1" si="349"/>
        <v>17.503982999999966</v>
      </c>
      <c r="U820" s="311">
        <f t="shared" ca="1" si="350"/>
        <v>0</v>
      </c>
      <c r="V820" s="306">
        <f t="shared" ca="1" si="351"/>
        <v>1.225920216624492</v>
      </c>
      <c r="W820" s="304">
        <f t="shared" ca="1" si="352"/>
        <v>18.359521233399477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-0.48048218085888195</v>
      </c>
      <c r="AH820" s="304">
        <f t="shared" ca="1" si="376"/>
        <v>-10.289479653907252</v>
      </c>
    </row>
    <row r="821" spans="1:34" x14ac:dyDescent="0.2">
      <c r="A821" s="347">
        <f t="shared" ca="1" si="354"/>
        <v>1E-4</v>
      </c>
      <c r="B821" s="304">
        <f t="shared" ca="1" si="355"/>
        <v>58.016400000001084</v>
      </c>
      <c r="D821" s="306">
        <f t="shared" ca="1" si="356"/>
        <v>-0.14709803451534265</v>
      </c>
      <c r="E821" s="307">
        <f t="shared" ca="1" si="357"/>
        <v>0.47842965207791543</v>
      </c>
      <c r="F821" s="304">
        <f t="shared" ca="1" si="358"/>
        <v>0.50053248021049757</v>
      </c>
      <c r="G821" s="306">
        <f t="shared" ca="1" si="359"/>
        <v>1.5099940035752495</v>
      </c>
      <c r="H821" s="307">
        <f t="shared" ca="1" si="360"/>
        <v>-105.61399705442598</v>
      </c>
      <c r="I821" s="304">
        <f t="shared" ca="1" si="361"/>
        <v>105.6247909143641</v>
      </c>
      <c r="J821" s="306">
        <f t="shared" ca="1" si="362"/>
        <v>809.6451793302748</v>
      </c>
      <c r="K821" s="307">
        <f t="shared" ca="1" si="363"/>
        <v>-7.5197134197766191</v>
      </c>
      <c r="L821" s="304">
        <f t="shared" ca="1" si="348"/>
        <v>809.68009886786058</v>
      </c>
      <c r="M821" s="306">
        <f t="shared" ca="1" si="364"/>
        <v>-1.5565000102925588</v>
      </c>
      <c r="N821" s="304">
        <f t="shared" ca="1" si="365"/>
        <v>-89.180881401832821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1.7842999999999964</v>
      </c>
      <c r="T821" s="304">
        <f t="shared" ca="1" si="349"/>
        <v>17.503982999999966</v>
      </c>
      <c r="U821" s="311">
        <f t="shared" ca="1" si="350"/>
        <v>0</v>
      </c>
      <c r="V821" s="306">
        <f t="shared" ca="1" si="351"/>
        <v>1.2259215113689932</v>
      </c>
      <c r="W821" s="304">
        <f t="shared" ca="1" si="352"/>
        <v>18.3595239202646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-0.48048366811282861</v>
      </c>
      <c r="AH821" s="304">
        <f t="shared" ca="1" si="376"/>
        <v>-10.289481159782275</v>
      </c>
    </row>
    <row r="822" spans="1:34" x14ac:dyDescent="0.2">
      <c r="A822" s="347">
        <f t="shared" ca="1" si="354"/>
        <v>1E-4</v>
      </c>
      <c r="B822" s="304">
        <f t="shared" ca="1" si="355"/>
        <v>58.016500000001088</v>
      </c>
      <c r="D822" s="306">
        <f t="shared" ca="1" si="356"/>
        <v>-0.14709668999556622</v>
      </c>
      <c r="E822" s="307">
        <f t="shared" ca="1" si="357"/>
        <v>0.47843117729198603</v>
      </c>
      <c r="F822" s="304">
        <f t="shared" ca="1" si="358"/>
        <v>0.50053354294457375</v>
      </c>
      <c r="G822" s="306">
        <f t="shared" ca="1" si="359"/>
        <v>1.50997929390625</v>
      </c>
      <c r="H822" s="307">
        <f t="shared" ca="1" si="360"/>
        <v>-105.61394921130825</v>
      </c>
      <c r="I822" s="304">
        <f t="shared" ca="1" si="361"/>
        <v>105.6247428658495</v>
      </c>
      <c r="J822" s="306">
        <f t="shared" ca="1" si="362"/>
        <v>809.6451793302748</v>
      </c>
      <c r="K822" s="307">
        <f t="shared" ca="1" si="363"/>
        <v>-7.5302748170899054</v>
      </c>
      <c r="L822" s="304">
        <f t="shared" ca="1" si="348"/>
        <v>809.68019702322829</v>
      </c>
      <c r="M822" s="306">
        <f t="shared" ca="1" si="364"/>
        <v>-1.556500143066456</v>
      </c>
      <c r="N822" s="304">
        <f t="shared" ca="1" si="365"/>
        <v>-89.180889009216756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1.7842999999999964</v>
      </c>
      <c r="T822" s="304">
        <f t="shared" ca="1" si="349"/>
        <v>17.503982999999966</v>
      </c>
      <c r="U822" s="311">
        <f t="shared" ca="1" si="350"/>
        <v>0</v>
      </c>
      <c r="V822" s="306">
        <f t="shared" ca="1" si="351"/>
        <v>1.2259228061142757</v>
      </c>
      <c r="W822" s="304">
        <f t="shared" ca="1" si="352"/>
        <v>18.359526607062033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-0.48048515532918223</v>
      </c>
      <c r="AH822" s="304">
        <f t="shared" ca="1" si="376"/>
        <v>-10.289482665619367</v>
      </c>
    </row>
    <row r="823" spans="1:34" x14ac:dyDescent="0.2">
      <c r="A823" s="347">
        <f t="shared" ca="1" si="354"/>
        <v>1E-4</v>
      </c>
      <c r="B823" s="304">
        <f t="shared" ca="1" si="355"/>
        <v>58.016600000001091</v>
      </c>
      <c r="D823" s="306">
        <f t="shared" ca="1" si="356"/>
        <v>-0.14709534548690942</v>
      </c>
      <c r="E823" s="307">
        <f t="shared" ca="1" si="357"/>
        <v>0.47843270246777614</v>
      </c>
      <c r="F823" s="304">
        <f t="shared" ca="1" si="358"/>
        <v>0.50053460565133046</v>
      </c>
      <c r="G823" s="306">
        <f t="shared" ca="1" si="359"/>
        <v>1.5099645843717013</v>
      </c>
      <c r="H823" s="307">
        <f t="shared" ca="1" si="360"/>
        <v>-105.613901368038</v>
      </c>
      <c r="I823" s="304">
        <f t="shared" ca="1" si="361"/>
        <v>105.62469481718618</v>
      </c>
      <c r="J823" s="306">
        <f t="shared" ca="1" si="362"/>
        <v>809.6451793302748</v>
      </c>
      <c r="K823" s="307">
        <f t="shared" ca="1" si="363"/>
        <v>-7.540836209618873</v>
      </c>
      <c r="L823" s="304">
        <f t="shared" ca="1" si="348"/>
        <v>809.68029531630145</v>
      </c>
      <c r="M823" s="306">
        <f t="shared" ca="1" si="364"/>
        <v>-1.5565002758391806</v>
      </c>
      <c r="N823" s="304">
        <f t="shared" ca="1" si="365"/>
        <v>-89.180896616533502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1.7842999999999964</v>
      </c>
      <c r="T823" s="304">
        <f t="shared" ca="1" si="349"/>
        <v>17.503982999999966</v>
      </c>
      <c r="U823" s="311">
        <f t="shared" ca="1" si="350"/>
        <v>0</v>
      </c>
      <c r="V823" s="306">
        <f t="shared" ca="1" si="351"/>
        <v>1.2259241008603401</v>
      </c>
      <c r="W823" s="304">
        <f t="shared" ca="1" si="352"/>
        <v>18.359529293791795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-0.48048664250793394</v>
      </c>
      <c r="AH823" s="304">
        <f t="shared" ca="1" si="376"/>
        <v>-10.289484171418522</v>
      </c>
    </row>
    <row r="824" spans="1:34" x14ac:dyDescent="0.2">
      <c r="A824" s="347">
        <f t="shared" ca="1" si="354"/>
        <v>1E-4</v>
      </c>
      <c r="B824" s="304">
        <f t="shared" ca="1" si="355"/>
        <v>58.016700000001094</v>
      </c>
      <c r="D824" s="306">
        <f t="shared" ca="1" si="356"/>
        <v>-0.14709400098937245</v>
      </c>
      <c r="E824" s="307">
        <f t="shared" ca="1" si="357"/>
        <v>0.47843422760529641</v>
      </c>
      <c r="F824" s="304">
        <f t="shared" ca="1" si="358"/>
        <v>0.50053566833077745</v>
      </c>
      <c r="G824" s="306">
        <f t="shared" ca="1" si="359"/>
        <v>1.5099498749716025</v>
      </c>
      <c r="H824" s="307">
        <f t="shared" ca="1" si="360"/>
        <v>-105.61385352461524</v>
      </c>
      <c r="I824" s="304">
        <f t="shared" ca="1" si="361"/>
        <v>105.62464676837413</v>
      </c>
      <c r="J824" s="306">
        <f t="shared" ca="1" si="362"/>
        <v>809.6451793302748</v>
      </c>
      <c r="K824" s="307">
        <f t="shared" ca="1" si="363"/>
        <v>-7.5513975973635059</v>
      </c>
      <c r="L824" s="304">
        <f t="shared" ca="1" si="348"/>
        <v>809.68039374707985</v>
      </c>
      <c r="M824" s="306">
        <f t="shared" ca="1" si="364"/>
        <v>-1.5565004086107326</v>
      </c>
      <c r="N824" s="304">
        <f t="shared" ca="1" si="365"/>
        <v>-89.180904223783074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1.7842999999999964</v>
      </c>
      <c r="T824" s="304">
        <f t="shared" ca="1" si="349"/>
        <v>17.503982999999966</v>
      </c>
      <c r="U824" s="311">
        <f t="shared" ca="1" si="350"/>
        <v>0</v>
      </c>
      <c r="V824" s="306">
        <f t="shared" ca="1" si="351"/>
        <v>1.2259253956071852</v>
      </c>
      <c r="W824" s="304">
        <f t="shared" ca="1" si="352"/>
        <v>18.359531980453859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 t="e">
        <f t="shared" ca="1" si="353"/>
        <v>#N/A</v>
      </c>
      <c r="AG824" s="306">
        <f t="shared" ca="1" si="375"/>
        <v>-0.48048812964909793</v>
      </c>
      <c r="AH824" s="304">
        <f t="shared" ca="1" si="376"/>
        <v>-10.289485677179751</v>
      </c>
    </row>
    <row r="825" spans="1:34" x14ac:dyDescent="0.2">
      <c r="A825" s="347">
        <f t="shared" ca="1" si="354"/>
        <v>1E-4</v>
      </c>
      <c r="B825" s="304">
        <f t="shared" ca="1" si="355"/>
        <v>58.016800000001098</v>
      </c>
      <c r="D825" s="306">
        <f t="shared" ca="1" si="356"/>
        <v>-0.14709265650295511</v>
      </c>
      <c r="E825" s="307">
        <f t="shared" ca="1" si="357"/>
        <v>0.47843575270453087</v>
      </c>
      <c r="F825" s="304">
        <f t="shared" ca="1" si="358"/>
        <v>0.50053673098289941</v>
      </c>
      <c r="G825" s="306">
        <f t="shared" ca="1" si="359"/>
        <v>1.5099351657059521</v>
      </c>
      <c r="H825" s="307">
        <f t="shared" ca="1" si="360"/>
        <v>-105.61380568103996</v>
      </c>
      <c r="I825" s="304">
        <f t="shared" ca="1" si="361"/>
        <v>105.62459871941338</v>
      </c>
      <c r="J825" s="306">
        <f t="shared" ca="1" si="362"/>
        <v>809.6451793302748</v>
      </c>
      <c r="K825" s="307">
        <f t="shared" ca="1" si="363"/>
        <v>-7.561958980323789</v>
      </c>
      <c r="L825" s="304">
        <f t="shared" ca="1" si="348"/>
        <v>809.68049231556324</v>
      </c>
      <c r="M825" s="306">
        <f t="shared" ca="1" si="364"/>
        <v>-1.5565005413811119</v>
      </c>
      <c r="N825" s="304">
        <f t="shared" ca="1" si="365"/>
        <v>-89.180911830965456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1.7842999999999964</v>
      </c>
      <c r="T825" s="304">
        <f t="shared" ca="1" si="349"/>
        <v>17.503982999999966</v>
      </c>
      <c r="U825" s="311">
        <f t="shared" ca="1" si="350"/>
        <v>0</v>
      </c>
      <c r="V825" s="306">
        <f t="shared" ca="1" si="351"/>
        <v>1.2259266903548125</v>
      </c>
      <c r="W825" s="304">
        <f t="shared" ca="1" si="352"/>
        <v>18.359534667048255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-0.48048961675266</v>
      </c>
      <c r="AH825" s="304">
        <f t="shared" ca="1" si="376"/>
        <v>-10.289487182903041</v>
      </c>
    </row>
    <row r="826" spans="1:34" x14ac:dyDescent="0.2">
      <c r="A826" s="347">
        <f t="shared" ca="1" si="354"/>
        <v>1E-4</v>
      </c>
      <c r="B826" s="304">
        <f t="shared" ca="1" si="355"/>
        <v>58.016900000001101</v>
      </c>
      <c r="D826" s="306">
        <f t="shared" ca="1" si="356"/>
        <v>-0.14709131202765763</v>
      </c>
      <c r="E826" s="307">
        <f t="shared" ca="1" si="357"/>
        <v>0.47843727776549549</v>
      </c>
      <c r="F826" s="304">
        <f t="shared" ca="1" si="358"/>
        <v>0.50053779360771111</v>
      </c>
      <c r="G826" s="306">
        <f t="shared" ca="1" si="359"/>
        <v>1.5099204565747493</v>
      </c>
      <c r="H826" s="307">
        <f t="shared" ca="1" si="360"/>
        <v>-105.61375783731219</v>
      </c>
      <c r="I826" s="304">
        <f t="shared" ca="1" si="361"/>
        <v>105.62455067030395</v>
      </c>
      <c r="J826" s="306">
        <f t="shared" ca="1" si="362"/>
        <v>809.6451793302748</v>
      </c>
      <c r="K826" s="307">
        <f t="shared" ca="1" si="363"/>
        <v>-7.5725203584997063</v>
      </c>
      <c r="L826" s="304">
        <f t="shared" ca="1" si="348"/>
        <v>809.68059102175141</v>
      </c>
      <c r="M826" s="306">
        <f t="shared" ca="1" si="364"/>
        <v>-1.5565006741503189</v>
      </c>
      <c r="N826" s="304">
        <f t="shared" ca="1" si="365"/>
        <v>-89.180919438080664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1.7842999999999964</v>
      </c>
      <c r="T826" s="304">
        <f t="shared" ca="1" si="349"/>
        <v>17.503982999999966</v>
      </c>
      <c r="U826" s="311">
        <f t="shared" ca="1" si="350"/>
        <v>0</v>
      </c>
      <c r="V826" s="306">
        <f t="shared" ca="1" si="351"/>
        <v>1.2259279851032205</v>
      </c>
      <c r="W826" s="304">
        <f t="shared" ca="1" si="352"/>
        <v>18.359537353574975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-0.48049110381863436</v>
      </c>
      <c r="AH826" s="304">
        <f t="shared" ca="1" si="376"/>
        <v>-10.289488688588404</v>
      </c>
    </row>
    <row r="827" spans="1:34" x14ac:dyDescent="0.2">
      <c r="A827" s="347">
        <f t="shared" ca="1" si="354"/>
        <v>1E-4</v>
      </c>
      <c r="B827" s="304">
        <f t="shared" ca="1" si="355"/>
        <v>58.017000000001104</v>
      </c>
      <c r="D827" s="306">
        <f t="shared" ca="1" si="356"/>
        <v>-0.14708996756347772</v>
      </c>
      <c r="E827" s="307">
        <f t="shared" ca="1" si="357"/>
        <v>0.47843880278819029</v>
      </c>
      <c r="F827" s="304">
        <f t="shared" ca="1" si="358"/>
        <v>0.50053885620521188</v>
      </c>
      <c r="G827" s="306">
        <f t="shared" ca="1" si="359"/>
        <v>1.5099057475779929</v>
      </c>
      <c r="H827" s="307">
        <f t="shared" ca="1" si="360"/>
        <v>-105.61370999343191</v>
      </c>
      <c r="I827" s="304">
        <f t="shared" ca="1" si="361"/>
        <v>105.62450262104579</v>
      </c>
      <c r="J827" s="306">
        <f t="shared" ca="1" si="362"/>
        <v>809.6451793302748</v>
      </c>
      <c r="K827" s="307">
        <f t="shared" ca="1" si="363"/>
        <v>-7.5830817318912436</v>
      </c>
      <c r="L827" s="304">
        <f t="shared" ca="1" si="348"/>
        <v>809.68068986564413</v>
      </c>
      <c r="M827" s="306">
        <f t="shared" ca="1" si="364"/>
        <v>-1.556500806918353</v>
      </c>
      <c r="N827" s="304">
        <f t="shared" ca="1" si="365"/>
        <v>-89.180927045128669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1.7842999999999964</v>
      </c>
      <c r="T827" s="304">
        <f t="shared" ca="1" si="349"/>
        <v>17.503982999999966</v>
      </c>
      <c r="U827" s="311">
        <f t="shared" ca="1" si="350"/>
        <v>0</v>
      </c>
      <c r="V827" s="306">
        <f t="shared" ca="1" si="351"/>
        <v>1.2259292798524106</v>
      </c>
      <c r="W827" s="304">
        <f t="shared" ca="1" si="352"/>
        <v>18.359540040034023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-0.48049259084701745</v>
      </c>
      <c r="AH827" s="304">
        <f t="shared" ca="1" si="376"/>
        <v>-10.289490194235841</v>
      </c>
    </row>
    <row r="828" spans="1:34" x14ac:dyDescent="0.2">
      <c r="A828" s="347">
        <f t="shared" ca="1" si="354"/>
        <v>1E-4</v>
      </c>
      <c r="B828" s="304">
        <f t="shared" ca="1" si="355"/>
        <v>58.017100000001108</v>
      </c>
      <c r="D828" s="306">
        <f t="shared" ca="1" si="356"/>
        <v>-0.14708862311041998</v>
      </c>
      <c r="E828" s="307">
        <f t="shared" ca="1" si="357"/>
        <v>0.47844032777261347</v>
      </c>
      <c r="F828" s="304">
        <f t="shared" ca="1" si="358"/>
        <v>0.50053991877540094</v>
      </c>
      <c r="G828" s="306">
        <f t="shared" ca="1" si="359"/>
        <v>1.5098910387156819</v>
      </c>
      <c r="H828" s="307">
        <f t="shared" ca="1" si="360"/>
        <v>-105.61366214939913</v>
      </c>
      <c r="I828" s="304">
        <f t="shared" ca="1" si="361"/>
        <v>105.62445457163892</v>
      </c>
      <c r="J828" s="306">
        <f t="shared" ca="1" si="362"/>
        <v>809.6451793302748</v>
      </c>
      <c r="K828" s="307">
        <f t="shared" ca="1" si="363"/>
        <v>-7.5936431004983849</v>
      </c>
      <c r="L828" s="304">
        <f t="shared" ca="1" si="348"/>
        <v>809.68078884724116</v>
      </c>
      <c r="M828" s="306">
        <f t="shared" ca="1" si="364"/>
        <v>-1.5565009396852147</v>
      </c>
      <c r="N828" s="304">
        <f t="shared" ca="1" si="365"/>
        <v>-89.180934652109514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1.7842999999999964</v>
      </c>
      <c r="T828" s="304">
        <f t="shared" ca="1" si="349"/>
        <v>17.503982999999966</v>
      </c>
      <c r="U828" s="311">
        <f t="shared" ca="1" si="350"/>
        <v>0</v>
      </c>
      <c r="V828" s="306">
        <f t="shared" ca="1" si="351"/>
        <v>1.2259305746023816</v>
      </c>
      <c r="W828" s="304">
        <f t="shared" ca="1" si="352"/>
        <v>18.359542726425381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-0.48049407783781284</v>
      </c>
      <c r="AH828" s="304">
        <f t="shared" ca="1" si="376"/>
        <v>-10.289491699845351</v>
      </c>
    </row>
    <row r="829" spans="1:34" x14ac:dyDescent="0.2">
      <c r="A829" s="347">
        <f t="shared" ca="1" si="354"/>
        <v>1E-4</v>
      </c>
      <c r="B829" s="304">
        <f t="shared" ca="1" si="355"/>
        <v>58.017200000001111</v>
      </c>
      <c r="D829" s="306">
        <f t="shared" ca="1" si="356"/>
        <v>-0.1470872786684797</v>
      </c>
      <c r="E829" s="307">
        <f t="shared" ca="1" si="357"/>
        <v>0.47844185271875617</v>
      </c>
      <c r="F829" s="304">
        <f t="shared" ca="1" si="358"/>
        <v>0.5005409813182683</v>
      </c>
      <c r="G829" s="306">
        <f t="shared" ca="1" si="359"/>
        <v>1.5098763299878151</v>
      </c>
      <c r="H829" s="307">
        <f t="shared" ca="1" si="360"/>
        <v>-105.61361430521386</v>
      </c>
      <c r="I829" s="304">
        <f t="shared" ca="1" si="361"/>
        <v>105.62440652208338</v>
      </c>
      <c r="J829" s="306">
        <f t="shared" ca="1" si="362"/>
        <v>809.6451793302748</v>
      </c>
      <c r="K829" s="307">
        <f t="shared" ca="1" si="363"/>
        <v>-7.6042044643211151</v>
      </c>
      <c r="L829" s="304">
        <f t="shared" ca="1" si="348"/>
        <v>809.68088796654206</v>
      </c>
      <c r="M829" s="306">
        <f t="shared" ca="1" si="364"/>
        <v>-1.5565010724509036</v>
      </c>
      <c r="N829" s="304">
        <f t="shared" ca="1" si="365"/>
        <v>-89.180942259023155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1.7842999999999964</v>
      </c>
      <c r="T829" s="304">
        <f t="shared" ca="1" si="349"/>
        <v>17.503982999999966</v>
      </c>
      <c r="U829" s="311">
        <f t="shared" ca="1" si="350"/>
        <v>0</v>
      </c>
      <c r="V829" s="306">
        <f t="shared" ca="1" si="351"/>
        <v>1.2259318693531343</v>
      </c>
      <c r="W829" s="304">
        <f t="shared" ca="1" si="352"/>
        <v>18.359545412749075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-0.48049556479100808</v>
      </c>
      <c r="AH829" s="304">
        <f t="shared" ca="1" si="376"/>
        <v>-10.289493205416925</v>
      </c>
    </row>
    <row r="830" spans="1:34" x14ac:dyDescent="0.2">
      <c r="A830" s="347">
        <f t="shared" ca="1" si="354"/>
        <v>1E-4</v>
      </c>
      <c r="B830" s="304">
        <f t="shared" ca="1" si="355"/>
        <v>58.017300000001114</v>
      </c>
      <c r="D830" s="306">
        <f t="shared" ca="1" si="356"/>
        <v>-0.1470859342376617</v>
      </c>
      <c r="E830" s="307">
        <f t="shared" ca="1" si="357"/>
        <v>0.47844337762663081</v>
      </c>
      <c r="F830" s="304">
        <f t="shared" ca="1" si="358"/>
        <v>0.50054204383382683</v>
      </c>
      <c r="G830" s="306">
        <f t="shared" ca="1" si="359"/>
        <v>1.5098616213943914</v>
      </c>
      <c r="H830" s="307">
        <f t="shared" ca="1" si="360"/>
        <v>-105.6135664608761</v>
      </c>
      <c r="I830" s="304">
        <f t="shared" ca="1" si="361"/>
        <v>105.62435847237914</v>
      </c>
      <c r="J830" s="306">
        <f t="shared" ca="1" si="362"/>
        <v>809.6451793302748</v>
      </c>
      <c r="K830" s="307">
        <f t="shared" ca="1" si="363"/>
        <v>-7.61476582335942</v>
      </c>
      <c r="L830" s="304">
        <f t="shared" ca="1" si="348"/>
        <v>809.68098722354694</v>
      </c>
      <c r="M830" s="306">
        <f t="shared" ca="1" si="364"/>
        <v>-1.5565012052154203</v>
      </c>
      <c r="N830" s="304">
        <f t="shared" ca="1" si="365"/>
        <v>-89.180949865869621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1.7842999999999964</v>
      </c>
      <c r="T830" s="304">
        <f t="shared" ca="1" si="349"/>
        <v>17.503982999999966</v>
      </c>
      <c r="U830" s="311">
        <f t="shared" ca="1" si="350"/>
        <v>0</v>
      </c>
      <c r="V830" s="306">
        <f t="shared" ca="1" si="351"/>
        <v>1.2259331641046682</v>
      </c>
      <c r="W830" s="304">
        <f t="shared" ca="1" si="352"/>
        <v>18.359548099005099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-0.48049705170661916</v>
      </c>
      <c r="AH830" s="304">
        <f t="shared" ca="1" si="376"/>
        <v>-10.289494710950574</v>
      </c>
    </row>
    <row r="831" spans="1:34" x14ac:dyDescent="0.2">
      <c r="A831" s="347">
        <f t="shared" ca="1" si="354"/>
        <v>1E-4</v>
      </c>
      <c r="B831" s="304">
        <f t="shared" ca="1" si="355"/>
        <v>58.017400000001118</v>
      </c>
      <c r="D831" s="306">
        <f t="shared" ca="1" si="356"/>
        <v>-0.14708458981795913</v>
      </c>
      <c r="E831" s="307">
        <f t="shared" ca="1" si="357"/>
        <v>0.47844490249623917</v>
      </c>
      <c r="F831" s="304">
        <f t="shared" ca="1" si="358"/>
        <v>0.50054310632207599</v>
      </c>
      <c r="G831" s="306">
        <f t="shared" ca="1" si="359"/>
        <v>1.5098469129354095</v>
      </c>
      <c r="H831" s="307">
        <f t="shared" ca="1" si="360"/>
        <v>-105.61351861638585</v>
      </c>
      <c r="I831" s="304">
        <f t="shared" ca="1" si="361"/>
        <v>105.62431042252621</v>
      </c>
      <c r="J831" s="306">
        <f t="shared" ca="1" si="362"/>
        <v>809.6451793302748</v>
      </c>
      <c r="K831" s="307">
        <f t="shared" ca="1" si="363"/>
        <v>-7.6253271776132827</v>
      </c>
      <c r="L831" s="304">
        <f t="shared" ca="1" si="348"/>
        <v>809.68108661825522</v>
      </c>
      <c r="M831" s="306">
        <f t="shared" ca="1" si="364"/>
        <v>-1.5565013379787642</v>
      </c>
      <c r="N831" s="304">
        <f t="shared" ca="1" si="365"/>
        <v>-89.180957472648899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1.7842999999999964</v>
      </c>
      <c r="T831" s="304">
        <f t="shared" ca="1" si="349"/>
        <v>17.503982999999966</v>
      </c>
      <c r="U831" s="311">
        <f t="shared" ca="1" si="350"/>
        <v>0</v>
      </c>
      <c r="V831" s="306">
        <f t="shared" ca="1" si="351"/>
        <v>1.2259344588569838</v>
      </c>
      <c r="W831" s="304">
        <f t="shared" ca="1" si="352"/>
        <v>18.359550785193441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-0.48049853858464253</v>
      </c>
      <c r="AH831" s="304">
        <f t="shared" ca="1" si="376"/>
        <v>-10.289496216446302</v>
      </c>
    </row>
    <row r="832" spans="1:34" x14ac:dyDescent="0.2">
      <c r="A832" s="347">
        <f t="shared" ca="1" si="354"/>
        <v>1E-4</v>
      </c>
      <c r="B832" s="304">
        <f t="shared" ca="1" si="355"/>
        <v>58.017500000001121</v>
      </c>
      <c r="D832" s="306">
        <f t="shared" ca="1" si="356"/>
        <v>-0.1470832454093787</v>
      </c>
      <c r="E832" s="307">
        <f t="shared" ca="1" si="357"/>
        <v>0.47844642732756881</v>
      </c>
      <c r="F832" s="304">
        <f t="shared" ca="1" si="358"/>
        <v>0.50054416878300578</v>
      </c>
      <c r="G832" s="306">
        <f t="shared" ca="1" si="359"/>
        <v>1.5098322046108685</v>
      </c>
      <c r="H832" s="307">
        <f t="shared" ca="1" si="360"/>
        <v>-105.61347077174311</v>
      </c>
      <c r="I832" s="304">
        <f t="shared" ca="1" si="361"/>
        <v>105.6242623725246</v>
      </c>
      <c r="J832" s="306">
        <f t="shared" ca="1" si="362"/>
        <v>809.6451793302748</v>
      </c>
      <c r="K832" s="307">
        <f t="shared" ca="1" si="363"/>
        <v>-7.6358885270826891</v>
      </c>
      <c r="L832" s="304">
        <f t="shared" ca="1" si="348"/>
        <v>809.6811861506668</v>
      </c>
      <c r="M832" s="306">
        <f t="shared" ca="1" si="364"/>
        <v>-1.5565014707409357</v>
      </c>
      <c r="N832" s="304">
        <f t="shared" ca="1" si="365"/>
        <v>-89.180965079361002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1.7842999999999964</v>
      </c>
      <c r="T832" s="304">
        <f t="shared" ca="1" si="349"/>
        <v>17.503982999999966</v>
      </c>
      <c r="U832" s="311">
        <f t="shared" ca="1" si="350"/>
        <v>0</v>
      </c>
      <c r="V832" s="306">
        <f t="shared" ca="1" si="351"/>
        <v>1.2259357536100803</v>
      </c>
      <c r="W832" s="304">
        <f t="shared" ca="1" si="352"/>
        <v>18.359553471314118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-0.48050002542506931</v>
      </c>
      <c r="AH832" s="304">
        <f t="shared" ca="1" si="376"/>
        <v>-10.289497721904096</v>
      </c>
    </row>
    <row r="833" spans="1:34" x14ac:dyDescent="0.2">
      <c r="A833" s="347">
        <f t="shared" ca="1" si="354"/>
        <v>1E-4</v>
      </c>
      <c r="B833" s="304">
        <f t="shared" ca="1" si="355"/>
        <v>58.017600000001124</v>
      </c>
      <c r="D833" s="306">
        <f t="shared" ca="1" si="356"/>
        <v>-0.14708190101191604</v>
      </c>
      <c r="E833" s="307">
        <f t="shared" ca="1" si="357"/>
        <v>0.47844795212063218</v>
      </c>
      <c r="F833" s="304">
        <f t="shared" ca="1" si="358"/>
        <v>0.5005452312166262</v>
      </c>
      <c r="G833" s="306">
        <f t="shared" ca="1" si="359"/>
        <v>1.5098174964207673</v>
      </c>
      <c r="H833" s="307">
        <f t="shared" ca="1" si="360"/>
        <v>-105.61342292694789</v>
      </c>
      <c r="I833" s="304">
        <f t="shared" ca="1" si="361"/>
        <v>105.6242143223743</v>
      </c>
      <c r="J833" s="306">
        <f t="shared" ca="1" si="362"/>
        <v>809.6451793302748</v>
      </c>
      <c r="K833" s="307">
        <f t="shared" ca="1" si="363"/>
        <v>-7.6464498717676239</v>
      </c>
      <c r="L833" s="304">
        <f t="shared" ca="1" si="348"/>
        <v>809.68128582078157</v>
      </c>
      <c r="M833" s="306">
        <f t="shared" ca="1" si="364"/>
        <v>-1.5565016035019346</v>
      </c>
      <c r="N833" s="304">
        <f t="shared" ca="1" si="365"/>
        <v>-89.18097268600593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1.7842999999999964</v>
      </c>
      <c r="T833" s="304">
        <f t="shared" ca="1" si="349"/>
        <v>17.503982999999966</v>
      </c>
      <c r="U833" s="311">
        <f t="shared" ca="1" si="350"/>
        <v>0</v>
      </c>
      <c r="V833" s="306">
        <f t="shared" ca="1" si="351"/>
        <v>1.2259370483639589</v>
      </c>
      <c r="W833" s="304">
        <f t="shared" ca="1" si="352"/>
        <v>18.359556157367127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-0.48050151222791193</v>
      </c>
      <c r="AH833" s="304">
        <f t="shared" ca="1" si="376"/>
        <v>-10.289499227323967</v>
      </c>
    </row>
    <row r="834" spans="1:34" x14ac:dyDescent="0.2">
      <c r="A834" s="347">
        <f t="shared" ca="1" si="354"/>
        <v>1E-4</v>
      </c>
      <c r="B834" s="304">
        <f t="shared" ca="1" si="355"/>
        <v>58.017700000001128</v>
      </c>
      <c r="D834" s="306">
        <f t="shared" ca="1" si="356"/>
        <v>-0.1470805566255734</v>
      </c>
      <c r="E834" s="307">
        <f t="shared" ca="1" si="357"/>
        <v>0.47844947687542749</v>
      </c>
      <c r="F834" s="304">
        <f t="shared" ca="1" si="358"/>
        <v>0.50054629362293623</v>
      </c>
      <c r="G834" s="306">
        <f t="shared" ca="1" si="359"/>
        <v>1.5098027883651048</v>
      </c>
      <c r="H834" s="307">
        <f t="shared" ca="1" si="360"/>
        <v>-105.6133750820002</v>
      </c>
      <c r="I834" s="304">
        <f t="shared" ca="1" si="361"/>
        <v>105.62416627207533</v>
      </c>
      <c r="J834" s="306">
        <f t="shared" ca="1" si="362"/>
        <v>809.6451793302748</v>
      </c>
      <c r="K834" s="307">
        <f t="shared" ca="1" si="363"/>
        <v>-7.6570112116680713</v>
      </c>
      <c r="L834" s="304">
        <f t="shared" ca="1" si="348"/>
        <v>809.68138562859929</v>
      </c>
      <c r="M834" s="306">
        <f t="shared" ca="1" si="364"/>
        <v>-1.556501736261761</v>
      </c>
      <c r="N834" s="304">
        <f t="shared" ca="1" si="365"/>
        <v>-89.180980292583669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1.7842999999999964</v>
      </c>
      <c r="T834" s="304">
        <f t="shared" ca="1" si="349"/>
        <v>17.503982999999966</v>
      </c>
      <c r="U834" s="311">
        <f t="shared" ca="1" si="350"/>
        <v>0</v>
      </c>
      <c r="V834" s="306">
        <f t="shared" ca="1" si="351"/>
        <v>1.2259383431186184</v>
      </c>
      <c r="W834" s="304">
        <f t="shared" ca="1" si="352"/>
        <v>18.359558843352467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 t="e">
        <f t="shared" ca="1" si="353"/>
        <v>#N/A</v>
      </c>
      <c r="AG834" s="306">
        <f t="shared" ca="1" si="375"/>
        <v>-0.48050299899316684</v>
      </c>
      <c r="AH834" s="304">
        <f t="shared" ca="1" si="376"/>
        <v>-10.289500732705914</v>
      </c>
    </row>
    <row r="835" spans="1:34" x14ac:dyDescent="0.2">
      <c r="A835" s="347">
        <f t="shared" ca="1" si="354"/>
        <v>1E-4</v>
      </c>
      <c r="B835" s="304">
        <f t="shared" ca="1" si="355"/>
        <v>58.017800000001131</v>
      </c>
      <c r="D835" s="306">
        <f t="shared" ca="1" si="356"/>
        <v>-0.14707921225034859</v>
      </c>
      <c r="E835" s="307">
        <f t="shared" ca="1" si="357"/>
        <v>0.47845100159195297</v>
      </c>
      <c r="F835" s="304">
        <f t="shared" ca="1" si="358"/>
        <v>0.50054735600193323</v>
      </c>
      <c r="G835" s="306">
        <f t="shared" ca="1" si="359"/>
        <v>1.5097880804438799</v>
      </c>
      <c r="H835" s="307">
        <f t="shared" ca="1" si="360"/>
        <v>-105.61332723690005</v>
      </c>
      <c r="I835" s="304">
        <f t="shared" ca="1" si="361"/>
        <v>105.6241182216277</v>
      </c>
      <c r="J835" s="306">
        <f t="shared" ca="1" si="362"/>
        <v>809.6451793302748</v>
      </c>
      <c r="K835" s="307">
        <f t="shared" ca="1" si="363"/>
        <v>-7.6675725467840161</v>
      </c>
      <c r="L835" s="304">
        <f t="shared" ca="1" si="348"/>
        <v>809.68148557411951</v>
      </c>
      <c r="M835" s="306">
        <f t="shared" ca="1" si="364"/>
        <v>-1.5565018690204149</v>
      </c>
      <c r="N835" s="304">
        <f t="shared" ca="1" si="365"/>
        <v>-89.180987899094234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1.7842999999999964</v>
      </c>
      <c r="T835" s="304">
        <f t="shared" ca="1" si="349"/>
        <v>17.503982999999966</v>
      </c>
      <c r="U835" s="311">
        <f t="shared" ca="1" si="350"/>
        <v>0</v>
      </c>
      <c r="V835" s="306">
        <f t="shared" ca="1" si="351"/>
        <v>1.2259396378740595</v>
      </c>
      <c r="W835" s="304">
        <f t="shared" ca="1" si="352"/>
        <v>18.359561529270142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-0.48050448572083759</v>
      </c>
      <c r="AH835" s="304">
        <f t="shared" ca="1" si="376"/>
        <v>-10.289502238049938</v>
      </c>
    </row>
    <row r="836" spans="1:34" x14ac:dyDescent="0.2">
      <c r="A836" s="347">
        <f t="shared" ca="1" si="354"/>
        <v>1E-4</v>
      </c>
      <c r="B836" s="304">
        <f t="shared" ca="1" si="355"/>
        <v>58.017900000001134</v>
      </c>
      <c r="D836" s="306">
        <f t="shared" ca="1" si="356"/>
        <v>-0.14707786788624383</v>
      </c>
      <c r="E836" s="307">
        <f t="shared" ca="1" si="357"/>
        <v>0.47845252627021395</v>
      </c>
      <c r="F836" s="304">
        <f t="shared" ca="1" si="358"/>
        <v>0.50054841835362252</v>
      </c>
      <c r="G836" s="306">
        <f t="shared" ca="1" si="359"/>
        <v>1.5097733726570912</v>
      </c>
      <c r="H836" s="307">
        <f t="shared" ca="1" si="360"/>
        <v>-105.61327939164742</v>
      </c>
      <c r="I836" s="304">
        <f t="shared" ca="1" si="361"/>
        <v>105.62407017103139</v>
      </c>
      <c r="J836" s="306">
        <f t="shared" ca="1" si="362"/>
        <v>809.6451793302748</v>
      </c>
      <c r="K836" s="307">
        <f t="shared" ca="1" si="363"/>
        <v>-7.6781338771154433</v>
      </c>
      <c r="L836" s="304">
        <f t="shared" ref="L836:L899" ca="1" si="377">SQRT(pos_x^2+pos_z^2)</f>
        <v>809.68158565734211</v>
      </c>
      <c r="M836" s="306">
        <f t="shared" ca="1" si="364"/>
        <v>-1.5565020017778961</v>
      </c>
      <c r="N836" s="304">
        <f t="shared" ca="1" si="365"/>
        <v>-89.180995505537609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1.7842999999999964</v>
      </c>
      <c r="T836" s="304">
        <f t="shared" ref="T836:T899" ca="1" si="378">m*g</f>
        <v>17.503982999999966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1.2259409326302817</v>
      </c>
      <c r="W836" s="304">
        <f t="shared" ref="W836:W899" ca="1" si="381">1/2*Rho*Sref*Cx*vit_xz^2</f>
        <v>18.359564215120148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-0.48050597241092241</v>
      </c>
      <c r="AH836" s="304">
        <f t="shared" ca="1" si="376"/>
        <v>-10.289503743356038</v>
      </c>
    </row>
    <row r="837" spans="1:34" x14ac:dyDescent="0.2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58.018000000001138</v>
      </c>
      <c r="D837" s="306">
        <f t="shared" ref="D837:D900" ca="1" si="385">IF(AND(L836&lt;L_rampe,Poussee&lt;Poids*SIN(M836)),0,(-W836+Poussee)/m*COS(M836)-U836/m*SIN(M836))</f>
        <v>-0.14707652353325923</v>
      </c>
      <c r="E837" s="307">
        <f t="shared" ref="E837:E900" ca="1" si="386">IF(AND(L836&lt;L_rampe,Poussee&lt;Poids*SIN(M836)),0,(-W836+Poussee)/m*SIN(M836)+U836/m*COS(M836)-Poids/m)</f>
        <v>0.4784540509102051</v>
      </c>
      <c r="F837" s="304">
        <f t="shared" ref="F837:F900" ca="1" si="387">SQRT(acc_x^2+acc_z^2)</f>
        <v>0.50054948067799898</v>
      </c>
      <c r="G837" s="306">
        <f t="shared" ref="G837:G900" ca="1" si="388">G836+acc_x*pas</f>
        <v>1.5097586650047379</v>
      </c>
      <c r="H837" s="307">
        <f t="shared" ref="H837:H900" ca="1" si="389">H836+acc_z*pas</f>
        <v>-105.61323154624233</v>
      </c>
      <c r="I837" s="304">
        <f t="shared" ref="I837:I900" ca="1" si="390">SQRT(vit_x^2+vit_z^2)</f>
        <v>105.62402212028643</v>
      </c>
      <c r="J837" s="306">
        <f t="shared" ref="J837:J900" ca="1" si="391">J836+0.5*(vit_x+G836)*pas*(K836&gt;=0)</f>
        <v>809.6451793302748</v>
      </c>
      <c r="K837" s="307">
        <f t="shared" ref="K837:K900" ca="1" si="392">K836+0.5*(vit_z+H836)*pas</f>
        <v>-7.6886952026623376</v>
      </c>
      <c r="L837" s="304">
        <f t="shared" ca="1" si="377"/>
        <v>809.68168587826676</v>
      </c>
      <c r="M837" s="306">
        <f t="shared" ref="M837:M900" ca="1" si="393">IF(AND(L836&gt;L_rampe,G837&gt;0),ATAN2(G837,H837),$M$4)</f>
        <v>-1.5565021345342052</v>
      </c>
      <c r="N837" s="304">
        <f t="shared" ref="N837:N900" ca="1" si="394">DEGREES(Beta)</f>
        <v>-89.181003111913824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1.7842999999999964</v>
      </c>
      <c r="T837" s="304">
        <f t="shared" ca="1" si="378"/>
        <v>17.503982999999966</v>
      </c>
      <c r="U837" s="311">
        <f t="shared" ca="1" si="379"/>
        <v>0</v>
      </c>
      <c r="V837" s="306">
        <f t="shared" ca="1" si="380"/>
        <v>1.2259422273872858</v>
      </c>
      <c r="W837" s="304">
        <f t="shared" ca="1" si="381"/>
        <v>18.3595669009025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-0.48050745906341774</v>
      </c>
      <c r="AH837" s="304">
        <f t="shared" ref="AH837:AH900" ca="1" si="405">IF(AND(L836&lt;L_rampe,Poussee&lt;Poids*SIN(M836)), g*SIN(M836), (-W836+Poussee)/m)</f>
        <v>-10.289505248624215</v>
      </c>
    </row>
    <row r="838" spans="1:34" x14ac:dyDescent="0.2">
      <c r="A838" s="347">
        <f t="shared" ca="1" si="383"/>
        <v>1E-4</v>
      </c>
      <c r="B838" s="304">
        <f t="shared" ca="1" si="384"/>
        <v>58.018100000001141</v>
      </c>
      <c r="D838" s="306">
        <f t="shared" ca="1" si="385"/>
        <v>-0.14707517919139024</v>
      </c>
      <c r="E838" s="307">
        <f t="shared" ca="1" si="386"/>
        <v>0.47845557551193529</v>
      </c>
      <c r="F838" s="304">
        <f t="shared" ca="1" si="387"/>
        <v>0.5005505429750694</v>
      </c>
      <c r="G838" s="306">
        <f t="shared" ca="1" si="388"/>
        <v>1.5097439574868188</v>
      </c>
      <c r="H838" s="307">
        <f t="shared" ca="1" si="389"/>
        <v>-105.61318370068479</v>
      </c>
      <c r="I838" s="304">
        <f t="shared" ca="1" si="390"/>
        <v>105.62397406939279</v>
      </c>
      <c r="J838" s="306">
        <f t="shared" ca="1" si="391"/>
        <v>809.6451793302748</v>
      </c>
      <c r="K838" s="307">
        <f t="shared" ca="1" si="392"/>
        <v>-7.6992565234246841</v>
      </c>
      <c r="L838" s="304">
        <f t="shared" ca="1" si="377"/>
        <v>809.68178623689334</v>
      </c>
      <c r="M838" s="306">
        <f t="shared" ca="1" si="393"/>
        <v>-1.5565022672893416</v>
      </c>
      <c r="N838" s="304">
        <f t="shared" ca="1" si="394"/>
        <v>-89.181010718222851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1.7842999999999964</v>
      </c>
      <c r="T838" s="304">
        <f t="shared" ca="1" si="378"/>
        <v>17.503982999999966</v>
      </c>
      <c r="U838" s="311">
        <f t="shared" ca="1" si="379"/>
        <v>0</v>
      </c>
      <c r="V838" s="306">
        <f t="shared" ca="1" si="380"/>
        <v>1.2259435221450712</v>
      </c>
      <c r="W838" s="304">
        <f t="shared" ca="1" si="381"/>
        <v>18.35956958661718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-0.48050894567833602</v>
      </c>
      <c r="AH838" s="304">
        <f t="shared" ca="1" si="405"/>
        <v>-10.289506753854473</v>
      </c>
    </row>
    <row r="839" spans="1:34" x14ac:dyDescent="0.2">
      <c r="A839" s="347">
        <f t="shared" ca="1" si="383"/>
        <v>1E-4</v>
      </c>
      <c r="B839" s="304">
        <f t="shared" ca="1" si="384"/>
        <v>58.018200000001144</v>
      </c>
      <c r="D839" s="306">
        <f t="shared" ca="1" si="385"/>
        <v>-0.14707383486064138</v>
      </c>
      <c r="E839" s="307">
        <f t="shared" ca="1" si="386"/>
        <v>0.47845710007539566</v>
      </c>
      <c r="F839" s="304">
        <f t="shared" ca="1" si="387"/>
        <v>0.50055160524482623</v>
      </c>
      <c r="G839" s="306">
        <f t="shared" ca="1" si="388"/>
        <v>1.5097292501033328</v>
      </c>
      <c r="H839" s="307">
        <f t="shared" ca="1" si="389"/>
        <v>-105.61313585497477</v>
      </c>
      <c r="I839" s="304">
        <f t="shared" ca="1" si="390"/>
        <v>105.62392601835049</v>
      </c>
      <c r="J839" s="306">
        <f t="shared" ca="1" si="391"/>
        <v>809.6451793302748</v>
      </c>
      <c r="K839" s="307">
        <f t="shared" ca="1" si="392"/>
        <v>-7.7098178394024668</v>
      </c>
      <c r="L839" s="304">
        <f t="shared" ca="1" si="377"/>
        <v>809.68188673322163</v>
      </c>
      <c r="M839" s="306">
        <f t="shared" ca="1" si="393"/>
        <v>-1.5565024000433054</v>
      </c>
      <c r="N839" s="304">
        <f t="shared" ca="1" si="394"/>
        <v>-89.181018324464688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1.7842999999999964</v>
      </c>
      <c r="T839" s="304">
        <f t="shared" ca="1" si="378"/>
        <v>17.503982999999966</v>
      </c>
      <c r="U839" s="311">
        <f t="shared" ca="1" si="379"/>
        <v>0</v>
      </c>
      <c r="V839" s="306">
        <f t="shared" ca="1" si="380"/>
        <v>1.2259448169036378</v>
      </c>
      <c r="W839" s="304">
        <f t="shared" ca="1" si="381"/>
        <v>18.359572272264195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-0.48051043225566303</v>
      </c>
      <c r="AH839" s="304">
        <f t="shared" ca="1" si="405"/>
        <v>-10.289508259046807</v>
      </c>
    </row>
    <row r="840" spans="1:34" x14ac:dyDescent="0.2">
      <c r="A840" s="347">
        <f t="shared" ca="1" si="383"/>
        <v>1E-4</v>
      </c>
      <c r="B840" s="304">
        <f t="shared" ca="1" si="384"/>
        <v>58.018300000001148</v>
      </c>
      <c r="D840" s="306">
        <f t="shared" ca="1" si="385"/>
        <v>-0.14707249054101271</v>
      </c>
      <c r="E840" s="307">
        <f t="shared" ca="1" si="386"/>
        <v>0.47845862460058797</v>
      </c>
      <c r="F840" s="304">
        <f t="shared" ca="1" si="387"/>
        <v>0.50055266748727123</v>
      </c>
      <c r="G840" s="306">
        <f t="shared" ca="1" si="388"/>
        <v>1.5097145428542786</v>
      </c>
      <c r="H840" s="307">
        <f t="shared" ca="1" si="389"/>
        <v>-105.61308800911232</v>
      </c>
      <c r="I840" s="304">
        <f t="shared" ca="1" si="390"/>
        <v>105.62387796715953</v>
      </c>
      <c r="J840" s="306">
        <f t="shared" ca="1" si="391"/>
        <v>809.6451793302748</v>
      </c>
      <c r="K840" s="307">
        <f t="shared" ca="1" si="392"/>
        <v>-7.7203791505956714</v>
      </c>
      <c r="L840" s="304">
        <f t="shared" ca="1" si="377"/>
        <v>809.68198736725139</v>
      </c>
      <c r="M840" s="306">
        <f t="shared" ca="1" si="393"/>
        <v>-1.5565025327960971</v>
      </c>
      <c r="N840" s="304">
        <f t="shared" ca="1" si="394"/>
        <v>-89.181025930639365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1.7842999999999964</v>
      </c>
      <c r="T840" s="304">
        <f t="shared" ca="1" si="378"/>
        <v>17.503982999999966</v>
      </c>
      <c r="U840" s="311">
        <f t="shared" ca="1" si="379"/>
        <v>0</v>
      </c>
      <c r="V840" s="306">
        <f t="shared" ca="1" si="380"/>
        <v>1.2259461116629859</v>
      </c>
      <c r="W840" s="304">
        <f t="shared" ca="1" si="381"/>
        <v>18.359574957843552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-0.48051191879540767</v>
      </c>
      <c r="AH840" s="304">
        <f t="shared" ca="1" si="405"/>
        <v>-10.289509764201217</v>
      </c>
    </row>
    <row r="841" spans="1:34" x14ac:dyDescent="0.2">
      <c r="A841" s="347">
        <f t="shared" ca="1" si="383"/>
        <v>1E-4</v>
      </c>
      <c r="B841" s="304">
        <f t="shared" ca="1" si="384"/>
        <v>58.018400000001151</v>
      </c>
      <c r="D841" s="306">
        <f t="shared" ca="1" si="385"/>
        <v>-0.14707114623249973</v>
      </c>
      <c r="E841" s="307">
        <f t="shared" ca="1" si="386"/>
        <v>0.47846014908751933</v>
      </c>
      <c r="F841" s="304">
        <f t="shared" ca="1" si="387"/>
        <v>0.50055372970240919</v>
      </c>
      <c r="G841" s="306">
        <f t="shared" ca="1" si="388"/>
        <v>1.5096998357396554</v>
      </c>
      <c r="H841" s="307">
        <f t="shared" ca="1" si="389"/>
        <v>-105.61304016309741</v>
      </c>
      <c r="I841" s="304">
        <f t="shared" ca="1" si="390"/>
        <v>105.62382991581994</v>
      </c>
      <c r="J841" s="306">
        <f t="shared" ca="1" si="391"/>
        <v>809.6451793302748</v>
      </c>
      <c r="K841" s="307">
        <f t="shared" ca="1" si="392"/>
        <v>-7.7309404570042819</v>
      </c>
      <c r="L841" s="304">
        <f t="shared" ca="1" si="377"/>
        <v>809.68208813898229</v>
      </c>
      <c r="M841" s="306">
        <f t="shared" ca="1" si="393"/>
        <v>-1.5565026655477161</v>
      </c>
      <c r="N841" s="304">
        <f t="shared" ca="1" si="394"/>
        <v>-89.181033536746853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1.7842999999999964</v>
      </c>
      <c r="T841" s="304">
        <f t="shared" ca="1" si="378"/>
        <v>17.503982999999966</v>
      </c>
      <c r="U841" s="311">
        <f t="shared" ca="1" si="379"/>
        <v>0</v>
      </c>
      <c r="V841" s="306">
        <f t="shared" ca="1" si="380"/>
        <v>1.2259474064231155</v>
      </c>
      <c r="W841" s="304">
        <f t="shared" ca="1" si="381"/>
        <v>18.359577643355255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-0.48051340529756814</v>
      </c>
      <c r="AH841" s="304">
        <f t="shared" ca="1" si="405"/>
        <v>-10.289511269317709</v>
      </c>
    </row>
    <row r="842" spans="1:34" x14ac:dyDescent="0.2">
      <c r="A842" s="347">
        <f t="shared" ca="1" si="383"/>
        <v>1E-4</v>
      </c>
      <c r="B842" s="304">
        <f t="shared" ca="1" si="384"/>
        <v>58.018500000001154</v>
      </c>
      <c r="D842" s="306">
        <f t="shared" ca="1" si="385"/>
        <v>-0.1470698019351071</v>
      </c>
      <c r="E842" s="307">
        <f t="shared" ca="1" si="386"/>
        <v>0.47846167353618974</v>
      </c>
      <c r="F842" s="304">
        <f t="shared" ca="1" si="387"/>
        <v>0.50055479189024155</v>
      </c>
      <c r="G842" s="306">
        <f t="shared" ca="1" si="388"/>
        <v>1.5096851287594619</v>
      </c>
      <c r="H842" s="307">
        <f t="shared" ca="1" si="389"/>
        <v>-105.61299231693006</v>
      </c>
      <c r="I842" s="304">
        <f t="shared" ca="1" si="390"/>
        <v>105.62378186433169</v>
      </c>
      <c r="J842" s="306">
        <f t="shared" ca="1" si="391"/>
        <v>809.6451793302748</v>
      </c>
      <c r="K842" s="307">
        <f t="shared" ca="1" si="392"/>
        <v>-7.7415017586282833</v>
      </c>
      <c r="L842" s="304">
        <f t="shared" ca="1" si="377"/>
        <v>809.68218904841399</v>
      </c>
      <c r="M842" s="306">
        <f t="shared" ca="1" si="393"/>
        <v>-1.5565027982981627</v>
      </c>
      <c r="N842" s="304">
        <f t="shared" ca="1" si="394"/>
        <v>-89.18104114278718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1.7842999999999964</v>
      </c>
      <c r="T842" s="304">
        <f t="shared" ca="1" si="378"/>
        <v>17.503982999999966</v>
      </c>
      <c r="U842" s="311">
        <f t="shared" ca="1" si="379"/>
        <v>0</v>
      </c>
      <c r="V842" s="306">
        <f t="shared" ca="1" si="380"/>
        <v>1.2259487011840262</v>
      </c>
      <c r="W842" s="304">
        <f t="shared" ca="1" si="381"/>
        <v>18.359580328799286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-0.48051489176215334</v>
      </c>
      <c r="AH842" s="304">
        <f t="shared" ca="1" si="405"/>
        <v>-10.289512774396286</v>
      </c>
    </row>
    <row r="843" spans="1:34" x14ac:dyDescent="0.2">
      <c r="A843" s="347">
        <f t="shared" ca="1" si="383"/>
        <v>1E-4</v>
      </c>
      <c r="B843" s="304">
        <f t="shared" ca="1" si="384"/>
        <v>58.018600000001157</v>
      </c>
      <c r="D843" s="306">
        <f t="shared" ca="1" si="385"/>
        <v>-0.14706845764883233</v>
      </c>
      <c r="E843" s="307">
        <f t="shared" ca="1" si="386"/>
        <v>0.47846319794658854</v>
      </c>
      <c r="F843" s="304">
        <f t="shared" ca="1" si="387"/>
        <v>0.50055585405075698</v>
      </c>
      <c r="G843" s="306">
        <f t="shared" ca="1" si="388"/>
        <v>1.5096704219136969</v>
      </c>
      <c r="H843" s="307">
        <f t="shared" ca="1" si="389"/>
        <v>-105.61294447061027</v>
      </c>
      <c r="I843" s="304">
        <f t="shared" ca="1" si="390"/>
        <v>105.62373381269482</v>
      </c>
      <c r="J843" s="306">
        <f t="shared" ca="1" si="391"/>
        <v>809.6451793302748</v>
      </c>
      <c r="K843" s="307">
        <f t="shared" ca="1" si="392"/>
        <v>-7.7520630554676604</v>
      </c>
      <c r="L843" s="304">
        <f t="shared" ca="1" si="377"/>
        <v>809.68229009554659</v>
      </c>
      <c r="M843" s="306">
        <f t="shared" ca="1" si="393"/>
        <v>-1.5565029310474368</v>
      </c>
      <c r="N843" s="304">
        <f t="shared" ca="1" si="394"/>
        <v>-89.181048748760318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1.7842999999999964</v>
      </c>
      <c r="T843" s="304">
        <f t="shared" ca="1" si="378"/>
        <v>17.503982999999966</v>
      </c>
      <c r="U843" s="311">
        <f t="shared" ca="1" si="379"/>
        <v>0</v>
      </c>
      <c r="V843" s="306">
        <f t="shared" ca="1" si="380"/>
        <v>1.2259499959457185</v>
      </c>
      <c r="W843" s="304">
        <f t="shared" ca="1" si="381"/>
        <v>18.359583014175673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-0.4805163781891455</v>
      </c>
      <c r="AH843" s="304">
        <f t="shared" ca="1" si="405"/>
        <v>-10.289514279436935</v>
      </c>
    </row>
    <row r="844" spans="1:34" x14ac:dyDescent="0.2">
      <c r="A844" s="347">
        <f t="shared" ca="1" si="383"/>
        <v>1E-4</v>
      </c>
      <c r="B844" s="304">
        <f t="shared" ca="1" si="384"/>
        <v>58.018700000001161</v>
      </c>
      <c r="D844" s="306">
        <f t="shared" ca="1" si="385"/>
        <v>-0.14706711337367806</v>
      </c>
      <c r="E844" s="307">
        <f t="shared" ca="1" si="386"/>
        <v>0.47846472231873527</v>
      </c>
      <c r="F844" s="304">
        <f t="shared" ca="1" si="387"/>
        <v>0.50055691618397469</v>
      </c>
      <c r="G844" s="306">
        <f t="shared" ca="1" si="388"/>
        <v>1.5096557152023595</v>
      </c>
      <c r="H844" s="307">
        <f t="shared" ca="1" si="389"/>
        <v>-105.61289662413805</v>
      </c>
      <c r="I844" s="304">
        <f t="shared" ca="1" si="390"/>
        <v>105.6236857609093</v>
      </c>
      <c r="J844" s="306">
        <f t="shared" ca="1" si="391"/>
        <v>809.6451793302748</v>
      </c>
      <c r="K844" s="307">
        <f t="shared" ca="1" si="392"/>
        <v>-7.7626243475223982</v>
      </c>
      <c r="L844" s="304">
        <f t="shared" ca="1" si="377"/>
        <v>809.68239128037953</v>
      </c>
      <c r="M844" s="306">
        <f t="shared" ca="1" si="393"/>
        <v>-1.5565030637955386</v>
      </c>
      <c r="N844" s="304">
        <f t="shared" ca="1" si="394"/>
        <v>-89.181056354666282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1.7842999999999964</v>
      </c>
      <c r="T844" s="304">
        <f t="shared" ca="1" si="378"/>
        <v>17.503982999999966</v>
      </c>
      <c r="U844" s="311">
        <f t="shared" ca="1" si="379"/>
        <v>0</v>
      </c>
      <c r="V844" s="306">
        <f t="shared" ca="1" si="380"/>
        <v>1.225951290708192</v>
      </c>
      <c r="W844" s="304">
        <f t="shared" ca="1" si="381"/>
        <v>18.359585699484391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 t="e">
        <f t="shared" ca="1" si="382"/>
        <v>#N/A</v>
      </c>
      <c r="AG844" s="306">
        <f t="shared" ca="1" si="404"/>
        <v>-0.48051786457856593</v>
      </c>
      <c r="AH844" s="304">
        <f t="shared" ca="1" si="405"/>
        <v>-10.289515784439674</v>
      </c>
    </row>
    <row r="845" spans="1:34" x14ac:dyDescent="0.2">
      <c r="A845" s="347">
        <f t="shared" ca="1" si="383"/>
        <v>1E-4</v>
      </c>
      <c r="B845" s="304">
        <f t="shared" ca="1" si="384"/>
        <v>58.018800000001164</v>
      </c>
      <c r="D845" s="306">
        <f t="shared" ca="1" si="385"/>
        <v>-0.14706576910963945</v>
      </c>
      <c r="E845" s="307">
        <f t="shared" ca="1" si="386"/>
        <v>0.47846624665261039</v>
      </c>
      <c r="F845" s="304">
        <f t="shared" ca="1" si="387"/>
        <v>0.50055797828987436</v>
      </c>
      <c r="G845" s="306">
        <f t="shared" ca="1" si="388"/>
        <v>1.5096410086254486</v>
      </c>
      <c r="H845" s="307">
        <f t="shared" ca="1" si="389"/>
        <v>-105.61284877751338</v>
      </c>
      <c r="I845" s="304">
        <f t="shared" ca="1" si="390"/>
        <v>105.62363770897512</v>
      </c>
      <c r="J845" s="306">
        <f t="shared" ca="1" si="391"/>
        <v>809.6451793302748</v>
      </c>
      <c r="K845" s="307">
        <f t="shared" ca="1" si="392"/>
        <v>-7.7731856347924806</v>
      </c>
      <c r="L845" s="304">
        <f t="shared" ca="1" si="377"/>
        <v>809.6824926029127</v>
      </c>
      <c r="M845" s="306">
        <f t="shared" ca="1" si="393"/>
        <v>-1.556503196542468</v>
      </c>
      <c r="N845" s="304">
        <f t="shared" ca="1" si="394"/>
        <v>-89.181063960505085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1.7842999999999964</v>
      </c>
      <c r="T845" s="304">
        <f t="shared" ca="1" si="378"/>
        <v>17.503982999999966</v>
      </c>
      <c r="U845" s="311">
        <f t="shared" ca="1" si="379"/>
        <v>0</v>
      </c>
      <c r="V845" s="306">
        <f t="shared" ca="1" si="380"/>
        <v>1.2259525854714475</v>
      </c>
      <c r="W845" s="304">
        <f t="shared" ca="1" si="381"/>
        <v>18.359588384725466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-0.48051935093039866</v>
      </c>
      <c r="AH845" s="304">
        <f t="shared" ca="1" si="405"/>
        <v>-10.289517289404488</v>
      </c>
    </row>
    <row r="846" spans="1:34" x14ac:dyDescent="0.2">
      <c r="A846" s="347">
        <f t="shared" ca="1" si="383"/>
        <v>1E-4</v>
      </c>
      <c r="B846" s="304">
        <f t="shared" ca="1" si="384"/>
        <v>58.018900000001167</v>
      </c>
      <c r="D846" s="306">
        <f t="shared" ca="1" si="385"/>
        <v>-0.14706442485671906</v>
      </c>
      <c r="E846" s="307">
        <f t="shared" ca="1" si="386"/>
        <v>0.47846777094823345</v>
      </c>
      <c r="F846" s="304">
        <f t="shared" ca="1" si="387"/>
        <v>0.50055904036847509</v>
      </c>
      <c r="G846" s="306">
        <f t="shared" ca="1" si="388"/>
        <v>1.509626302182963</v>
      </c>
      <c r="H846" s="307">
        <f t="shared" ca="1" si="389"/>
        <v>-105.61280093073628</v>
      </c>
      <c r="I846" s="304">
        <f t="shared" ca="1" si="390"/>
        <v>105.62358965689234</v>
      </c>
      <c r="J846" s="306">
        <f t="shared" ca="1" si="391"/>
        <v>809.6451793302748</v>
      </c>
      <c r="K846" s="307">
        <f t="shared" ca="1" si="392"/>
        <v>-7.7837469172778935</v>
      </c>
      <c r="L846" s="304">
        <f t="shared" ca="1" si="377"/>
        <v>809.68259406314587</v>
      </c>
      <c r="M846" s="306">
        <f t="shared" ca="1" si="393"/>
        <v>-1.5565033292882249</v>
      </c>
      <c r="N846" s="304">
        <f t="shared" ca="1" si="394"/>
        <v>-89.1810715662767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1.7842999999999964</v>
      </c>
      <c r="T846" s="304">
        <f t="shared" ca="1" si="378"/>
        <v>17.503982999999966</v>
      </c>
      <c r="U846" s="311">
        <f t="shared" ca="1" si="379"/>
        <v>0</v>
      </c>
      <c r="V846" s="306">
        <f t="shared" ca="1" si="380"/>
        <v>1.2259538802354837</v>
      </c>
      <c r="W846" s="304">
        <f t="shared" ca="1" si="381"/>
        <v>18.359591069898883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-0.48052083724465966</v>
      </c>
      <c r="AH846" s="304">
        <f t="shared" ca="1" si="405"/>
        <v>-10.289518794331393</v>
      </c>
    </row>
    <row r="847" spans="1:34" x14ac:dyDescent="0.2">
      <c r="A847" s="347">
        <f t="shared" ca="1" si="383"/>
        <v>1E-4</v>
      </c>
      <c r="B847" s="304">
        <f t="shared" ca="1" si="384"/>
        <v>58.019000000001171</v>
      </c>
      <c r="D847" s="306">
        <f t="shared" ca="1" si="385"/>
        <v>-0.14706308061491902</v>
      </c>
      <c r="E847" s="307">
        <f t="shared" ca="1" si="386"/>
        <v>0.478469295205592</v>
      </c>
      <c r="F847" s="304">
        <f t="shared" ca="1" si="387"/>
        <v>0.50056010241976545</v>
      </c>
      <c r="G847" s="306">
        <f t="shared" ca="1" si="388"/>
        <v>1.5096115958749015</v>
      </c>
      <c r="H847" s="307">
        <f t="shared" ca="1" si="389"/>
        <v>-105.61275308380677</v>
      </c>
      <c r="I847" s="304">
        <f t="shared" ca="1" si="390"/>
        <v>105.62354160466091</v>
      </c>
      <c r="J847" s="306">
        <f t="shared" ca="1" si="391"/>
        <v>809.6451793302748</v>
      </c>
      <c r="K847" s="307">
        <f t="shared" ca="1" si="392"/>
        <v>-7.7943081949786208</v>
      </c>
      <c r="L847" s="304">
        <f t="shared" ca="1" si="377"/>
        <v>809.68269566107881</v>
      </c>
      <c r="M847" s="306">
        <f t="shared" ca="1" si="393"/>
        <v>-1.5565034620328095</v>
      </c>
      <c r="N847" s="304">
        <f t="shared" ca="1" si="394"/>
        <v>-89.181079171981153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1.7842999999999964</v>
      </c>
      <c r="T847" s="304">
        <f t="shared" ca="1" si="378"/>
        <v>17.503982999999966</v>
      </c>
      <c r="U847" s="311">
        <f t="shared" ca="1" si="379"/>
        <v>0</v>
      </c>
      <c r="V847" s="306">
        <f t="shared" ca="1" si="380"/>
        <v>1.2259551750003015</v>
      </c>
      <c r="W847" s="304">
        <f t="shared" ca="1" si="381"/>
        <v>18.359593755004642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-0.48052232352133828</v>
      </c>
      <c r="AH847" s="304">
        <f t="shared" ca="1" si="405"/>
        <v>-10.289520299220378</v>
      </c>
    </row>
    <row r="848" spans="1:34" x14ac:dyDescent="0.2">
      <c r="A848" s="347">
        <f t="shared" ca="1" si="383"/>
        <v>1E-4</v>
      </c>
      <c r="B848" s="304">
        <f t="shared" ca="1" si="384"/>
        <v>58.019100000001174</v>
      </c>
      <c r="D848" s="306">
        <f t="shared" ca="1" si="385"/>
        <v>-0.14706173638423484</v>
      </c>
      <c r="E848" s="307">
        <f t="shared" ca="1" si="386"/>
        <v>0.47847081942468783</v>
      </c>
      <c r="F848" s="304">
        <f t="shared" ca="1" si="387"/>
        <v>0.50056116444374554</v>
      </c>
      <c r="G848" s="306">
        <f t="shared" ca="1" si="388"/>
        <v>1.509596889701263</v>
      </c>
      <c r="H848" s="307">
        <f t="shared" ca="1" si="389"/>
        <v>-105.61270523672482</v>
      </c>
      <c r="I848" s="304">
        <f t="shared" ca="1" si="390"/>
        <v>105.62349355228086</v>
      </c>
      <c r="J848" s="306">
        <f t="shared" ca="1" si="391"/>
        <v>809.6451793302748</v>
      </c>
      <c r="K848" s="307">
        <f t="shared" ca="1" si="392"/>
        <v>-7.8048694678946475</v>
      </c>
      <c r="L848" s="304">
        <f t="shared" ca="1" si="377"/>
        <v>809.68279739671129</v>
      </c>
      <c r="M848" s="306">
        <f t="shared" ca="1" si="393"/>
        <v>-1.5565035947762218</v>
      </c>
      <c r="N848" s="304">
        <f t="shared" ca="1" si="394"/>
        <v>-89.181086777618432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1.7842999999999964</v>
      </c>
      <c r="T848" s="304">
        <f t="shared" ca="1" si="378"/>
        <v>17.503982999999966</v>
      </c>
      <c r="U848" s="311">
        <f t="shared" ca="1" si="379"/>
        <v>0</v>
      </c>
      <c r="V848" s="306">
        <f t="shared" ca="1" si="380"/>
        <v>1.2259564697659007</v>
      </c>
      <c r="W848" s="304">
        <f t="shared" ca="1" si="381"/>
        <v>18.359596440042754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-0.48052380976043452</v>
      </c>
      <c r="AH848" s="304">
        <f t="shared" ca="1" si="405"/>
        <v>-10.289521804071445</v>
      </c>
    </row>
    <row r="849" spans="1:34" x14ac:dyDescent="0.2">
      <c r="A849" s="347">
        <f t="shared" ca="1" si="383"/>
        <v>1E-4</v>
      </c>
      <c r="B849" s="304">
        <f t="shared" ca="1" si="384"/>
        <v>58.019200000001177</v>
      </c>
      <c r="D849" s="306">
        <f t="shared" ca="1" si="385"/>
        <v>-0.1470603921646689</v>
      </c>
      <c r="E849" s="307">
        <f t="shared" ca="1" si="386"/>
        <v>0.47847234360552804</v>
      </c>
      <c r="F849" s="304">
        <f t="shared" ca="1" si="387"/>
        <v>0.50056222644042236</v>
      </c>
      <c r="G849" s="306">
        <f t="shared" ca="1" si="388"/>
        <v>1.5095821836620467</v>
      </c>
      <c r="H849" s="307">
        <f t="shared" ca="1" si="389"/>
        <v>-105.61265738949047</v>
      </c>
      <c r="I849" s="304">
        <f t="shared" ca="1" si="390"/>
        <v>105.62344549975221</v>
      </c>
      <c r="J849" s="306">
        <f t="shared" ca="1" si="391"/>
        <v>809.6451793302748</v>
      </c>
      <c r="K849" s="307">
        <f t="shared" ca="1" si="392"/>
        <v>-7.8154307360259585</v>
      </c>
      <c r="L849" s="304">
        <f t="shared" ca="1" si="377"/>
        <v>809.68289927004298</v>
      </c>
      <c r="M849" s="306">
        <f t="shared" ca="1" si="393"/>
        <v>-1.5565037275184617</v>
      </c>
      <c r="N849" s="304">
        <f t="shared" ca="1" si="394"/>
        <v>-89.181094383188551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1.7842999999999964</v>
      </c>
      <c r="T849" s="304">
        <f t="shared" ca="1" si="378"/>
        <v>17.503982999999966</v>
      </c>
      <c r="U849" s="311">
        <f t="shared" ca="1" si="379"/>
        <v>0</v>
      </c>
      <c r="V849" s="306">
        <f t="shared" ca="1" si="380"/>
        <v>1.2259577645322817</v>
      </c>
      <c r="W849" s="304">
        <f t="shared" ca="1" si="381"/>
        <v>18.359599125013222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-0.48052529596195726</v>
      </c>
      <c r="AH849" s="304">
        <f t="shared" ca="1" si="405"/>
        <v>-10.289523308884599</v>
      </c>
    </row>
    <row r="850" spans="1:34" x14ac:dyDescent="0.2">
      <c r="A850" s="347">
        <f t="shared" ca="1" si="383"/>
        <v>1E-4</v>
      </c>
      <c r="B850" s="304">
        <f t="shared" ca="1" si="384"/>
        <v>58.019300000001181</v>
      </c>
      <c r="D850" s="306">
        <f t="shared" ca="1" si="385"/>
        <v>-0.14705904795622124</v>
      </c>
      <c r="E850" s="307">
        <f t="shared" ca="1" si="386"/>
        <v>0.4784738677481144</v>
      </c>
      <c r="F850" s="304">
        <f t="shared" ca="1" si="387"/>
        <v>0.50056328840979769</v>
      </c>
      <c r="G850" s="306">
        <f t="shared" ca="1" si="388"/>
        <v>1.509567477757251</v>
      </c>
      <c r="H850" s="307">
        <f t="shared" ca="1" si="389"/>
        <v>-105.61260954210368</v>
      </c>
      <c r="I850" s="304">
        <f t="shared" ca="1" si="390"/>
        <v>105.62339744707492</v>
      </c>
      <c r="J850" s="306">
        <f t="shared" ca="1" si="391"/>
        <v>809.6451793302748</v>
      </c>
      <c r="K850" s="307">
        <f t="shared" ca="1" si="392"/>
        <v>-7.8259919993725386</v>
      </c>
      <c r="L850" s="304">
        <f t="shared" ca="1" si="377"/>
        <v>809.68300128107364</v>
      </c>
      <c r="M850" s="306">
        <f t="shared" ca="1" si="393"/>
        <v>-1.5565038602595291</v>
      </c>
      <c r="N850" s="304">
        <f t="shared" ca="1" si="394"/>
        <v>-89.181101988691481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1.7842999999999964</v>
      </c>
      <c r="T850" s="304">
        <f t="shared" ca="1" si="378"/>
        <v>17.503982999999966</v>
      </c>
      <c r="U850" s="311">
        <f t="shared" ca="1" si="379"/>
        <v>0</v>
      </c>
      <c r="V850" s="306">
        <f t="shared" ca="1" si="380"/>
        <v>1.2259590592994434</v>
      </c>
      <c r="W850" s="304">
        <f t="shared" ca="1" si="381"/>
        <v>18.359601809916033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-0.48052678212590649</v>
      </c>
      <c r="AH850" s="304">
        <f t="shared" ca="1" si="405"/>
        <v>-10.289524813659844</v>
      </c>
    </row>
    <row r="851" spans="1:34" x14ac:dyDescent="0.2">
      <c r="A851" s="347">
        <f t="shared" ca="1" si="383"/>
        <v>1E-4</v>
      </c>
      <c r="B851" s="304">
        <f t="shared" ca="1" si="384"/>
        <v>58.019400000001184</v>
      </c>
      <c r="D851" s="306">
        <f t="shared" ca="1" si="385"/>
        <v>-0.14705770375889177</v>
      </c>
      <c r="E851" s="307">
        <f t="shared" ca="1" si="386"/>
        <v>0.47847539185243626</v>
      </c>
      <c r="F851" s="304">
        <f t="shared" ca="1" si="387"/>
        <v>0.50056435035186075</v>
      </c>
      <c r="G851" s="306">
        <f t="shared" ca="1" si="388"/>
        <v>1.5095527719868751</v>
      </c>
      <c r="H851" s="307">
        <f t="shared" ca="1" si="389"/>
        <v>-105.6125616945645</v>
      </c>
      <c r="I851" s="304">
        <f t="shared" ca="1" si="390"/>
        <v>105.62334939424903</v>
      </c>
      <c r="J851" s="306">
        <f t="shared" ca="1" si="391"/>
        <v>809.6451793302748</v>
      </c>
      <c r="K851" s="307">
        <f t="shared" ca="1" si="392"/>
        <v>-7.836553257934372</v>
      </c>
      <c r="L851" s="304">
        <f t="shared" ca="1" si="377"/>
        <v>809.68310342980317</v>
      </c>
      <c r="M851" s="306">
        <f t="shared" ca="1" si="393"/>
        <v>-1.5565039929994242</v>
      </c>
      <c r="N851" s="304">
        <f t="shared" ca="1" si="394"/>
        <v>-89.181109594127236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1.7842999999999964</v>
      </c>
      <c r="T851" s="304">
        <f t="shared" ca="1" si="378"/>
        <v>17.503982999999966</v>
      </c>
      <c r="U851" s="311">
        <f t="shared" ca="1" si="379"/>
        <v>0</v>
      </c>
      <c r="V851" s="306">
        <f t="shared" ca="1" si="380"/>
        <v>1.2259603540673869</v>
      </c>
      <c r="W851" s="304">
        <f t="shared" ca="1" si="381"/>
        <v>18.359604494751199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-0.48052826825227335</v>
      </c>
      <c r="AH851" s="304">
        <f t="shared" ca="1" si="405"/>
        <v>-10.289526318397169</v>
      </c>
    </row>
    <row r="852" spans="1:34" x14ac:dyDescent="0.2">
      <c r="A852" s="347">
        <f t="shared" ca="1" si="383"/>
        <v>1E-4</v>
      </c>
      <c r="B852" s="304">
        <f t="shared" ca="1" si="384"/>
        <v>58.019500000001187</v>
      </c>
      <c r="D852" s="306">
        <f t="shared" ca="1" si="385"/>
        <v>-0.14705635957268062</v>
      </c>
      <c r="E852" s="307">
        <f t="shared" ca="1" si="386"/>
        <v>0.47847691591850605</v>
      </c>
      <c r="F852" s="304">
        <f t="shared" ca="1" si="387"/>
        <v>0.50056541226662343</v>
      </c>
      <c r="G852" s="306">
        <f t="shared" ca="1" si="388"/>
        <v>1.5095380663509179</v>
      </c>
      <c r="H852" s="307">
        <f t="shared" ca="1" si="389"/>
        <v>-105.61251384687291</v>
      </c>
      <c r="I852" s="304">
        <f t="shared" ca="1" si="390"/>
        <v>105.62330134127454</v>
      </c>
      <c r="J852" s="306">
        <f t="shared" ca="1" si="391"/>
        <v>809.6451793302748</v>
      </c>
      <c r="K852" s="307">
        <f t="shared" ca="1" si="392"/>
        <v>-7.8471145117114443</v>
      </c>
      <c r="L852" s="304">
        <f t="shared" ca="1" si="377"/>
        <v>809.68320571623121</v>
      </c>
      <c r="M852" s="306">
        <f t="shared" ca="1" si="393"/>
        <v>-1.5565041257381471</v>
      </c>
      <c r="N852" s="304">
        <f t="shared" ca="1" si="394"/>
        <v>-89.181117199495844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1.7842999999999964</v>
      </c>
      <c r="T852" s="304">
        <f t="shared" ca="1" si="378"/>
        <v>17.503982999999966</v>
      </c>
      <c r="U852" s="311">
        <f t="shared" ca="1" si="379"/>
        <v>0</v>
      </c>
      <c r="V852" s="306">
        <f t="shared" ca="1" si="380"/>
        <v>1.2259616488361116</v>
      </c>
      <c r="W852" s="304">
        <f t="shared" ca="1" si="381"/>
        <v>18.359607179518719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-0.48052975434106848</v>
      </c>
      <c r="AH852" s="304">
        <f t="shared" ca="1" si="405"/>
        <v>-10.289527823096584</v>
      </c>
    </row>
    <row r="853" spans="1:34" x14ac:dyDescent="0.2">
      <c r="A853" s="347">
        <f t="shared" ca="1" si="383"/>
        <v>1E-4</v>
      </c>
      <c r="B853" s="304">
        <f t="shared" ca="1" si="384"/>
        <v>58.019600000001191</v>
      </c>
      <c r="D853" s="306">
        <f t="shared" ca="1" si="385"/>
        <v>-0.1470550153975855</v>
      </c>
      <c r="E853" s="307">
        <f t="shared" ca="1" si="386"/>
        <v>0.47847843994631667</v>
      </c>
      <c r="F853" s="304">
        <f t="shared" ca="1" si="387"/>
        <v>0.50056647415407785</v>
      </c>
      <c r="G853" s="306">
        <f t="shared" ca="1" si="388"/>
        <v>1.5095233608493781</v>
      </c>
      <c r="H853" s="307">
        <f t="shared" ca="1" si="389"/>
        <v>-105.61246599902891</v>
      </c>
      <c r="I853" s="304">
        <f t="shared" ca="1" si="390"/>
        <v>105.62325328815142</v>
      </c>
      <c r="J853" s="306">
        <f t="shared" ca="1" si="391"/>
        <v>809.6451793302748</v>
      </c>
      <c r="K853" s="307">
        <f t="shared" ca="1" si="392"/>
        <v>-7.8576757607037395</v>
      </c>
      <c r="L853" s="304">
        <f t="shared" ca="1" si="377"/>
        <v>809.68330814035755</v>
      </c>
      <c r="M853" s="306">
        <f t="shared" ca="1" si="393"/>
        <v>-1.5565042584756976</v>
      </c>
      <c r="N853" s="304">
        <f t="shared" ca="1" si="394"/>
        <v>-89.181124804797264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1.7842999999999964</v>
      </c>
      <c r="T853" s="304">
        <f t="shared" ca="1" si="378"/>
        <v>17.503982999999966</v>
      </c>
      <c r="U853" s="311">
        <f t="shared" ca="1" si="379"/>
        <v>0</v>
      </c>
      <c r="V853" s="306">
        <f t="shared" ca="1" si="380"/>
        <v>1.2259629436056179</v>
      </c>
      <c r="W853" s="304">
        <f t="shared" ca="1" si="381"/>
        <v>18.359609864218587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-0.48053124039228656</v>
      </c>
      <c r="AH853" s="304">
        <f t="shared" ca="1" si="405"/>
        <v>-10.289529327758087</v>
      </c>
    </row>
    <row r="854" spans="1:34" x14ac:dyDescent="0.2">
      <c r="A854" s="347">
        <f t="shared" ca="1" si="383"/>
        <v>1E-4</v>
      </c>
      <c r="B854" s="304">
        <f t="shared" ca="1" si="384"/>
        <v>58.019700000001194</v>
      </c>
      <c r="D854" s="306">
        <f t="shared" ca="1" si="385"/>
        <v>-0.14705367123360868</v>
      </c>
      <c r="E854" s="307">
        <f t="shared" ca="1" si="386"/>
        <v>0.47847996393586989</v>
      </c>
      <c r="F854" s="304">
        <f t="shared" ca="1" si="387"/>
        <v>0.50056753601422621</v>
      </c>
      <c r="G854" s="306">
        <f t="shared" ca="1" si="388"/>
        <v>1.5095086554822548</v>
      </c>
      <c r="H854" s="307">
        <f t="shared" ca="1" si="389"/>
        <v>-105.61241815103251</v>
      </c>
      <c r="I854" s="304">
        <f t="shared" ca="1" si="390"/>
        <v>105.62320523487971</v>
      </c>
      <c r="J854" s="306">
        <f t="shared" ca="1" si="391"/>
        <v>809.6451793302748</v>
      </c>
      <c r="K854" s="307">
        <f t="shared" ca="1" si="392"/>
        <v>-7.8682370049112427</v>
      </c>
      <c r="L854" s="304">
        <f t="shared" ca="1" si="377"/>
        <v>809.68341070218196</v>
      </c>
      <c r="M854" s="306">
        <f t="shared" ca="1" si="393"/>
        <v>-1.5565043912120757</v>
      </c>
      <c r="N854" s="304">
        <f t="shared" ca="1" si="394"/>
        <v>-89.181132410031523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1.7842999999999964</v>
      </c>
      <c r="T854" s="304">
        <f t="shared" ca="1" si="378"/>
        <v>17.503982999999966</v>
      </c>
      <c r="U854" s="311">
        <f t="shared" ca="1" si="379"/>
        <v>0</v>
      </c>
      <c r="V854" s="306">
        <f t="shared" ca="1" si="380"/>
        <v>1.2259642383759053</v>
      </c>
      <c r="W854" s="304">
        <f t="shared" ca="1" si="381"/>
        <v>18.359612548850812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 t="e">
        <f t="shared" ca="1" si="382"/>
        <v>#N/A</v>
      </c>
      <c r="AG854" s="306">
        <f t="shared" ca="1" si="404"/>
        <v>-0.48053272640592937</v>
      </c>
      <c r="AH854" s="304">
        <f t="shared" ca="1" si="405"/>
        <v>-10.289530832381676</v>
      </c>
    </row>
    <row r="855" spans="1:34" x14ac:dyDescent="0.2">
      <c r="A855" s="347">
        <f t="shared" ca="1" si="383"/>
        <v>1E-4</v>
      </c>
      <c r="B855" s="304">
        <f t="shared" ca="1" si="384"/>
        <v>58.019800000001197</v>
      </c>
      <c r="D855" s="306">
        <f t="shared" ca="1" si="385"/>
        <v>-0.14705232708075025</v>
      </c>
      <c r="E855" s="307">
        <f t="shared" ca="1" si="386"/>
        <v>0.47848148788716749</v>
      </c>
      <c r="F855" s="304">
        <f t="shared" ca="1" si="387"/>
        <v>0.50056859784706986</v>
      </c>
      <c r="G855" s="306">
        <f t="shared" ca="1" si="388"/>
        <v>1.5094939502495468</v>
      </c>
      <c r="H855" s="307">
        <f t="shared" ca="1" si="389"/>
        <v>-105.61237030288373</v>
      </c>
      <c r="I855" s="304">
        <f t="shared" ca="1" si="390"/>
        <v>105.6231571814594</v>
      </c>
      <c r="J855" s="306">
        <f t="shared" ca="1" si="391"/>
        <v>809.6451793302748</v>
      </c>
      <c r="K855" s="307">
        <f t="shared" ca="1" si="392"/>
        <v>-7.8787982443339386</v>
      </c>
      <c r="L855" s="304">
        <f t="shared" ca="1" si="377"/>
        <v>809.6835134017042</v>
      </c>
      <c r="M855" s="306">
        <f t="shared" ca="1" si="393"/>
        <v>-1.5565045239472817</v>
      </c>
      <c r="N855" s="304">
        <f t="shared" ca="1" si="394"/>
        <v>-89.181140015198622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1.7842999999999964</v>
      </c>
      <c r="T855" s="304">
        <f t="shared" ca="1" si="378"/>
        <v>17.503982999999966</v>
      </c>
      <c r="U855" s="311">
        <f t="shared" ca="1" si="379"/>
        <v>0</v>
      </c>
      <c r="V855" s="306">
        <f t="shared" ca="1" si="380"/>
        <v>1.2259655331469743</v>
      </c>
      <c r="W855" s="304">
        <f t="shared" ca="1" si="381"/>
        <v>18.359615233415401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-0.48053421238199689</v>
      </c>
      <c r="AH855" s="304">
        <f t="shared" ca="1" si="405"/>
        <v>-10.289532336967353</v>
      </c>
    </row>
    <row r="856" spans="1:34" x14ac:dyDescent="0.2">
      <c r="A856" s="347">
        <f t="shared" ca="1" si="383"/>
        <v>1E-4</v>
      </c>
      <c r="B856" s="304">
        <f t="shared" ca="1" si="384"/>
        <v>58.019900000001201</v>
      </c>
      <c r="D856" s="306">
        <f t="shared" ca="1" si="385"/>
        <v>-0.14705098293900801</v>
      </c>
      <c r="E856" s="307">
        <f t="shared" ca="1" si="386"/>
        <v>0.47848301180021657</v>
      </c>
      <c r="F856" s="304">
        <f t="shared" ca="1" si="387"/>
        <v>0.5005696596526148</v>
      </c>
      <c r="G856" s="306">
        <f t="shared" ca="1" si="388"/>
        <v>1.5094792451512529</v>
      </c>
      <c r="H856" s="307">
        <f t="shared" ca="1" si="389"/>
        <v>-105.61232245458255</v>
      </c>
      <c r="I856" s="304">
        <f t="shared" ca="1" si="390"/>
        <v>105.6231091278905</v>
      </c>
      <c r="J856" s="306">
        <f t="shared" ca="1" si="391"/>
        <v>809.6451793302748</v>
      </c>
      <c r="K856" s="307">
        <f t="shared" ca="1" si="392"/>
        <v>-7.8893594789718122</v>
      </c>
      <c r="L856" s="304">
        <f t="shared" ca="1" si="377"/>
        <v>809.68361623892406</v>
      </c>
      <c r="M856" s="306">
        <f t="shared" ca="1" si="393"/>
        <v>-1.5565046566813152</v>
      </c>
      <c r="N856" s="304">
        <f t="shared" ca="1" si="394"/>
        <v>-89.181147620298532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1.7842999999999964</v>
      </c>
      <c r="T856" s="304">
        <f t="shared" ca="1" si="378"/>
        <v>17.503982999999966</v>
      </c>
      <c r="U856" s="311">
        <f t="shared" ca="1" si="379"/>
        <v>0</v>
      </c>
      <c r="V856" s="306">
        <f t="shared" ca="1" si="380"/>
        <v>1.2259668279188247</v>
      </c>
      <c r="W856" s="304">
        <f t="shared" ca="1" si="381"/>
        <v>18.359617917912345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-0.48053569832049625</v>
      </c>
      <c r="AH856" s="304">
        <f t="shared" ca="1" si="405"/>
        <v>-10.289533841515125</v>
      </c>
    </row>
    <row r="857" spans="1:34" x14ac:dyDescent="0.2">
      <c r="A857" s="347">
        <f t="shared" ca="1" si="383"/>
        <v>1E-4</v>
      </c>
      <c r="B857" s="304">
        <f t="shared" ca="1" si="384"/>
        <v>58.020000000001204</v>
      </c>
      <c r="D857" s="306">
        <f t="shared" ca="1" si="385"/>
        <v>-0.14704963880838418</v>
      </c>
      <c r="E857" s="307">
        <f t="shared" ca="1" si="386"/>
        <v>0.47848453567501004</v>
      </c>
      <c r="F857" s="304">
        <f t="shared" ca="1" si="387"/>
        <v>0.50057072143085457</v>
      </c>
      <c r="G857" s="306">
        <f t="shared" ca="1" si="388"/>
        <v>1.5094645401873721</v>
      </c>
      <c r="H857" s="307">
        <f t="shared" ca="1" si="389"/>
        <v>-105.61227460612899</v>
      </c>
      <c r="I857" s="304">
        <f t="shared" ca="1" si="390"/>
        <v>105.62306107417301</v>
      </c>
      <c r="J857" s="306">
        <f t="shared" ca="1" si="391"/>
        <v>809.6451793302748</v>
      </c>
      <c r="K857" s="307">
        <f t="shared" ca="1" si="392"/>
        <v>-7.8999207088248475</v>
      </c>
      <c r="L857" s="304">
        <f t="shared" ca="1" si="377"/>
        <v>809.6837192138413</v>
      </c>
      <c r="M857" s="306">
        <f t="shared" ca="1" si="393"/>
        <v>-1.5565047894141764</v>
      </c>
      <c r="N857" s="304">
        <f t="shared" ca="1" si="394"/>
        <v>-89.181155225331281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1.7842999999999964</v>
      </c>
      <c r="T857" s="304">
        <f t="shared" ca="1" si="378"/>
        <v>17.503982999999966</v>
      </c>
      <c r="U857" s="311">
        <f t="shared" ca="1" si="379"/>
        <v>0</v>
      </c>
      <c r="V857" s="306">
        <f t="shared" ca="1" si="380"/>
        <v>1.2259681226914558</v>
      </c>
      <c r="W857" s="304">
        <f t="shared" ca="1" si="381"/>
        <v>18.359620602341632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-0.48053718422142389</v>
      </c>
      <c r="AH857" s="304">
        <f t="shared" ca="1" si="405"/>
        <v>-10.289535346024985</v>
      </c>
    </row>
    <row r="858" spans="1:34" x14ac:dyDescent="0.2">
      <c r="A858" s="347">
        <f t="shared" ca="1" si="383"/>
        <v>1E-4</v>
      </c>
      <c r="B858" s="304">
        <f t="shared" ca="1" si="384"/>
        <v>58.020100000001207</v>
      </c>
      <c r="D858" s="306">
        <f t="shared" ca="1" si="385"/>
        <v>-0.14704829468887867</v>
      </c>
      <c r="E858" s="307">
        <f t="shared" ca="1" si="386"/>
        <v>0.47848605951154255</v>
      </c>
      <c r="F858" s="304">
        <f t="shared" ca="1" si="387"/>
        <v>0.50057178318178375</v>
      </c>
      <c r="G858" s="306">
        <f t="shared" ca="1" si="388"/>
        <v>1.5094498353579031</v>
      </c>
      <c r="H858" s="307">
        <f t="shared" ca="1" si="389"/>
        <v>-105.61222675752305</v>
      </c>
      <c r="I858" s="304">
        <f t="shared" ca="1" si="390"/>
        <v>105.62301302030694</v>
      </c>
      <c r="J858" s="306">
        <f t="shared" ca="1" si="391"/>
        <v>809.6451793302748</v>
      </c>
      <c r="K858" s="307">
        <f t="shared" ca="1" si="392"/>
        <v>-7.9104819338930303</v>
      </c>
      <c r="L858" s="304">
        <f t="shared" ca="1" si="377"/>
        <v>809.68382232645558</v>
      </c>
      <c r="M858" s="306">
        <f t="shared" ca="1" si="393"/>
        <v>-1.5565049221458653</v>
      </c>
      <c r="N858" s="304">
        <f t="shared" ca="1" si="394"/>
        <v>-89.18116283029687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1.7842999999999964</v>
      </c>
      <c r="T858" s="304">
        <f t="shared" ca="1" si="378"/>
        <v>17.503982999999966</v>
      </c>
      <c r="U858" s="311">
        <f t="shared" ca="1" si="379"/>
        <v>0</v>
      </c>
      <c r="V858" s="306">
        <f t="shared" ca="1" si="380"/>
        <v>1.2259694174648692</v>
      </c>
      <c r="W858" s="304">
        <f t="shared" ca="1" si="381"/>
        <v>18.359623286703304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-0.48053867008476736</v>
      </c>
      <c r="AH858" s="304">
        <f t="shared" ca="1" si="405"/>
        <v>-10.289536850496928</v>
      </c>
    </row>
    <row r="859" spans="1:34" x14ac:dyDescent="0.2">
      <c r="A859" s="347">
        <f t="shared" ca="1" si="383"/>
        <v>1E-4</v>
      </c>
      <c r="B859" s="304">
        <f t="shared" ca="1" si="384"/>
        <v>58.020200000001211</v>
      </c>
      <c r="D859" s="306">
        <f t="shared" ca="1" si="385"/>
        <v>-0.14704695058048958</v>
      </c>
      <c r="E859" s="307">
        <f t="shared" ca="1" si="386"/>
        <v>0.47848758330983365</v>
      </c>
      <c r="F859" s="304">
        <f t="shared" ca="1" si="387"/>
        <v>0.50057284490542031</v>
      </c>
      <c r="G859" s="306">
        <f t="shared" ca="1" si="388"/>
        <v>1.5094351306628451</v>
      </c>
      <c r="H859" s="307">
        <f t="shared" ca="1" si="389"/>
        <v>-105.61217890876472</v>
      </c>
      <c r="I859" s="304">
        <f t="shared" ca="1" si="390"/>
        <v>105.62296496629227</v>
      </c>
      <c r="J859" s="306">
        <f t="shared" ca="1" si="391"/>
        <v>809.6451793302748</v>
      </c>
      <c r="K859" s="307">
        <f t="shared" ca="1" si="392"/>
        <v>-7.9210431541763446</v>
      </c>
      <c r="L859" s="304">
        <f t="shared" ca="1" si="377"/>
        <v>809.6839255767668</v>
      </c>
      <c r="M859" s="306">
        <f t="shared" ca="1" si="393"/>
        <v>-1.5565050548763821</v>
      </c>
      <c r="N859" s="304">
        <f t="shared" ca="1" si="394"/>
        <v>-89.181170435195298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1.7842999999999964</v>
      </c>
      <c r="T859" s="304">
        <f t="shared" ca="1" si="378"/>
        <v>17.503982999999966</v>
      </c>
      <c r="U859" s="311">
        <f t="shared" ca="1" si="379"/>
        <v>0</v>
      </c>
      <c r="V859" s="306">
        <f t="shared" ca="1" si="380"/>
        <v>1.2259707122390635</v>
      </c>
      <c r="W859" s="304">
        <f t="shared" ca="1" si="381"/>
        <v>18.359625970997325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-0.4805401559105551</v>
      </c>
      <c r="AH859" s="304">
        <f t="shared" ca="1" si="405"/>
        <v>-10.289538354930976</v>
      </c>
    </row>
    <row r="860" spans="1:34" x14ac:dyDescent="0.2">
      <c r="A860" s="347">
        <f t="shared" ca="1" si="383"/>
        <v>1E-4</v>
      </c>
      <c r="B860" s="304">
        <f t="shared" ca="1" si="384"/>
        <v>58.020300000001214</v>
      </c>
      <c r="D860" s="306">
        <f t="shared" ca="1" si="385"/>
        <v>-0.14704560648321666</v>
      </c>
      <c r="E860" s="307">
        <f t="shared" ca="1" si="386"/>
        <v>0.47848910706986736</v>
      </c>
      <c r="F860" s="304">
        <f t="shared" ca="1" si="387"/>
        <v>0.5005739066017485</v>
      </c>
      <c r="G860" s="306">
        <f t="shared" ca="1" si="388"/>
        <v>1.5094204261021968</v>
      </c>
      <c r="H860" s="307">
        <f t="shared" ca="1" si="389"/>
        <v>-105.61213105985401</v>
      </c>
      <c r="I860" s="304">
        <f t="shared" ca="1" si="390"/>
        <v>105.62291691212903</v>
      </c>
      <c r="J860" s="306">
        <f t="shared" ca="1" si="391"/>
        <v>809.6451793302748</v>
      </c>
      <c r="K860" s="307">
        <f t="shared" ca="1" si="392"/>
        <v>-7.9316043696747753</v>
      </c>
      <c r="L860" s="304">
        <f t="shared" ca="1" si="377"/>
        <v>809.6840289647746</v>
      </c>
      <c r="M860" s="306">
        <f t="shared" ca="1" si="393"/>
        <v>-1.5565051876057265</v>
      </c>
      <c r="N860" s="304">
        <f t="shared" ca="1" si="394"/>
        <v>-89.181178040026538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1.7842999999999964</v>
      </c>
      <c r="T860" s="304">
        <f t="shared" ca="1" si="378"/>
        <v>17.503982999999966</v>
      </c>
      <c r="U860" s="311">
        <f t="shared" ca="1" si="379"/>
        <v>0</v>
      </c>
      <c r="V860" s="306">
        <f t="shared" ca="1" si="380"/>
        <v>1.2259720070140392</v>
      </c>
      <c r="W860" s="304">
        <f t="shared" ca="1" si="381"/>
        <v>18.359628655223709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-0.48054164169876579</v>
      </c>
      <c r="AH860" s="304">
        <f t="shared" ca="1" si="405"/>
        <v>-10.289539859327109</v>
      </c>
    </row>
    <row r="861" spans="1:34" x14ac:dyDescent="0.2">
      <c r="A861" s="347">
        <f t="shared" ca="1" si="383"/>
        <v>1E-4</v>
      </c>
      <c r="B861" s="304">
        <f t="shared" ca="1" si="384"/>
        <v>58.020400000001217</v>
      </c>
      <c r="D861" s="306">
        <f t="shared" ca="1" si="385"/>
        <v>-0.14704426239706225</v>
      </c>
      <c r="E861" s="307">
        <f t="shared" ca="1" si="386"/>
        <v>0.47849063079165077</v>
      </c>
      <c r="F861" s="304">
        <f t="shared" ca="1" si="387"/>
        <v>0.50057496827077552</v>
      </c>
      <c r="G861" s="306">
        <f t="shared" ca="1" si="388"/>
        <v>1.5094057216759571</v>
      </c>
      <c r="H861" s="307">
        <f t="shared" ca="1" si="389"/>
        <v>-105.61208321079093</v>
      </c>
      <c r="I861" s="304">
        <f t="shared" ca="1" si="390"/>
        <v>105.62286885781722</v>
      </c>
      <c r="J861" s="306">
        <f t="shared" ca="1" si="391"/>
        <v>809.6451793302748</v>
      </c>
      <c r="K861" s="307">
        <f t="shared" ca="1" si="392"/>
        <v>-7.9421655803883073</v>
      </c>
      <c r="L861" s="304">
        <f t="shared" ca="1" si="377"/>
        <v>809.68413249047876</v>
      </c>
      <c r="M861" s="306">
        <f t="shared" ca="1" si="393"/>
        <v>-1.5565053203338988</v>
      </c>
      <c r="N861" s="304">
        <f t="shared" ca="1" si="394"/>
        <v>-89.181185644790631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1.7842999999999964</v>
      </c>
      <c r="T861" s="304">
        <f t="shared" ca="1" si="378"/>
        <v>17.503982999999966</v>
      </c>
      <c r="U861" s="311">
        <f t="shared" ca="1" si="379"/>
        <v>0</v>
      </c>
      <c r="V861" s="306">
        <f t="shared" ca="1" si="380"/>
        <v>1.2259733017897965</v>
      </c>
      <c r="W861" s="304">
        <f t="shared" ca="1" si="381"/>
        <v>18.359631339382464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-0.48054312744940653</v>
      </c>
      <c r="AH861" s="304">
        <f t="shared" ca="1" si="405"/>
        <v>-10.289541363685336</v>
      </c>
    </row>
    <row r="862" spans="1:34" x14ac:dyDescent="0.2">
      <c r="A862" s="347">
        <f t="shared" ca="1" si="383"/>
        <v>1E-4</v>
      </c>
      <c r="B862" s="304">
        <f t="shared" ca="1" si="384"/>
        <v>58.020500000001221</v>
      </c>
      <c r="D862" s="306">
        <f t="shared" ca="1" si="385"/>
        <v>-0.14704291832202426</v>
      </c>
      <c r="E862" s="307">
        <f t="shared" ca="1" si="386"/>
        <v>0.47849215447518922</v>
      </c>
      <c r="F862" s="304">
        <f t="shared" ca="1" si="387"/>
        <v>0.50057602991250572</v>
      </c>
      <c r="G862" s="306">
        <f t="shared" ca="1" si="388"/>
        <v>1.509391017384125</v>
      </c>
      <c r="H862" s="307">
        <f t="shared" ca="1" si="389"/>
        <v>-105.61203536157548</v>
      </c>
      <c r="I862" s="304">
        <f t="shared" ca="1" si="390"/>
        <v>105.62282080335683</v>
      </c>
      <c r="J862" s="306">
        <f t="shared" ca="1" si="391"/>
        <v>809.6451793302748</v>
      </c>
      <c r="K862" s="307">
        <f t="shared" ca="1" si="392"/>
        <v>-7.9527267863169255</v>
      </c>
      <c r="L862" s="304">
        <f t="shared" ca="1" si="377"/>
        <v>809.68423615387906</v>
      </c>
      <c r="M862" s="306">
        <f t="shared" ca="1" si="393"/>
        <v>-1.5565054530608988</v>
      </c>
      <c r="N862" s="304">
        <f t="shared" ca="1" si="394"/>
        <v>-89.181193249487563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1.7842999999999964</v>
      </c>
      <c r="T862" s="304">
        <f t="shared" ca="1" si="378"/>
        <v>17.503982999999966</v>
      </c>
      <c r="U862" s="311">
        <f t="shared" ca="1" si="379"/>
        <v>0</v>
      </c>
      <c r="V862" s="306">
        <f t="shared" ca="1" si="380"/>
        <v>1.2259745965663347</v>
      </c>
      <c r="W862" s="304">
        <f t="shared" ca="1" si="381"/>
        <v>18.359634023473564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-0.48054461316248265</v>
      </c>
      <c r="AH862" s="304">
        <f t="shared" ca="1" si="405"/>
        <v>-10.289542868005661</v>
      </c>
    </row>
    <row r="863" spans="1:34" x14ac:dyDescent="0.2">
      <c r="A863" s="347">
        <f t="shared" ca="1" si="383"/>
        <v>1E-4</v>
      </c>
      <c r="B863" s="304">
        <f t="shared" ca="1" si="384"/>
        <v>58.020600000001224</v>
      </c>
      <c r="D863" s="306">
        <f t="shared" ca="1" si="385"/>
        <v>-0.14704157425810238</v>
      </c>
      <c r="E863" s="307">
        <f t="shared" ca="1" si="386"/>
        <v>0.47849367812046317</v>
      </c>
      <c r="F863" s="304">
        <f t="shared" ca="1" si="387"/>
        <v>0.50057709152691998</v>
      </c>
      <c r="G863" s="306">
        <f t="shared" ca="1" si="388"/>
        <v>1.5093763132266991</v>
      </c>
      <c r="H863" s="307">
        <f t="shared" ca="1" si="389"/>
        <v>-105.61198751220766</v>
      </c>
      <c r="I863" s="304">
        <f t="shared" ca="1" si="390"/>
        <v>105.62277274874786</v>
      </c>
      <c r="J863" s="306">
        <f t="shared" ca="1" si="391"/>
        <v>809.6451793302748</v>
      </c>
      <c r="K863" s="307">
        <f t="shared" ca="1" si="392"/>
        <v>-7.9632879874606148</v>
      </c>
      <c r="L863" s="304">
        <f t="shared" ca="1" si="377"/>
        <v>809.68433995497537</v>
      </c>
      <c r="M863" s="306">
        <f t="shared" ca="1" si="393"/>
        <v>-1.5565055857867267</v>
      </c>
      <c r="N863" s="304">
        <f t="shared" ca="1" si="394"/>
        <v>-89.181200854117336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1.7842999999999964</v>
      </c>
      <c r="T863" s="304">
        <f t="shared" ca="1" si="378"/>
        <v>17.503982999999966</v>
      </c>
      <c r="U863" s="311">
        <f t="shared" ca="1" si="379"/>
        <v>0</v>
      </c>
      <c r="V863" s="306">
        <f t="shared" ca="1" si="380"/>
        <v>1.2259758913436545</v>
      </c>
      <c r="W863" s="304">
        <f t="shared" ca="1" si="381"/>
        <v>18.359636707497042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-0.48054609883797816</v>
      </c>
      <c r="AH863" s="304">
        <f t="shared" ca="1" si="405"/>
        <v>-10.289544372288068</v>
      </c>
    </row>
    <row r="864" spans="1:34" x14ac:dyDescent="0.2">
      <c r="A864" s="347">
        <f t="shared" ca="1" si="383"/>
        <v>1E-4</v>
      </c>
      <c r="B864" s="304">
        <f t="shared" ca="1" si="384"/>
        <v>58.020700000001227</v>
      </c>
      <c r="D864" s="306">
        <f t="shared" ca="1" si="385"/>
        <v>-0.147040230205297</v>
      </c>
      <c r="E864" s="307">
        <f t="shared" ca="1" si="386"/>
        <v>0.47849520172749749</v>
      </c>
      <c r="F864" s="304">
        <f t="shared" ca="1" si="387"/>
        <v>0.50057815311404197</v>
      </c>
      <c r="G864" s="306">
        <f t="shared" ca="1" si="388"/>
        <v>1.5093616092036786</v>
      </c>
      <c r="H864" s="307">
        <f t="shared" ca="1" si="389"/>
        <v>-105.61193966268749</v>
      </c>
      <c r="I864" s="304">
        <f t="shared" ca="1" si="390"/>
        <v>105.62272469399036</v>
      </c>
      <c r="J864" s="306">
        <f t="shared" ca="1" si="391"/>
        <v>809.6451793302748</v>
      </c>
      <c r="K864" s="307">
        <f t="shared" ca="1" si="392"/>
        <v>-7.9738491838193593</v>
      </c>
      <c r="L864" s="304">
        <f t="shared" ca="1" si="377"/>
        <v>809.68444389376725</v>
      </c>
      <c r="M864" s="306">
        <f t="shared" ca="1" si="393"/>
        <v>-1.5565057185113822</v>
      </c>
      <c r="N864" s="304">
        <f t="shared" ca="1" si="394"/>
        <v>-89.181208458679933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1.7842999999999964</v>
      </c>
      <c r="T864" s="304">
        <f t="shared" ca="1" si="378"/>
        <v>17.503982999999966</v>
      </c>
      <c r="U864" s="311">
        <f t="shared" ca="1" si="379"/>
        <v>0</v>
      </c>
      <c r="V864" s="306">
        <f t="shared" ca="1" si="380"/>
        <v>1.2259771861217559</v>
      </c>
      <c r="W864" s="304">
        <f t="shared" ca="1" si="381"/>
        <v>18.359639391452898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 t="e">
        <f t="shared" ca="1" si="382"/>
        <v>#N/A</v>
      </c>
      <c r="AG864" s="306">
        <f t="shared" ca="1" si="404"/>
        <v>-0.48054758447591439</v>
      </c>
      <c r="AH864" s="304">
        <f t="shared" ca="1" si="405"/>
        <v>-10.289545876532578</v>
      </c>
    </row>
    <row r="865" spans="1:34" x14ac:dyDescent="0.2">
      <c r="A865" s="347">
        <f t="shared" ca="1" si="383"/>
        <v>1E-4</v>
      </c>
      <c r="B865" s="304">
        <f t="shared" ca="1" si="384"/>
        <v>58.020800000001231</v>
      </c>
      <c r="D865" s="306">
        <f t="shared" ca="1" si="385"/>
        <v>-0.14703888616361036</v>
      </c>
      <c r="E865" s="307">
        <f t="shared" ca="1" si="386"/>
        <v>0.47849672529628862</v>
      </c>
      <c r="F865" s="304">
        <f t="shared" ca="1" si="387"/>
        <v>0.50057921467386868</v>
      </c>
      <c r="G865" s="306">
        <f t="shared" ca="1" si="388"/>
        <v>1.5093469053150621</v>
      </c>
      <c r="H865" s="307">
        <f t="shared" ca="1" si="389"/>
        <v>-105.61189181301496</v>
      </c>
      <c r="I865" s="304">
        <f t="shared" ca="1" si="390"/>
        <v>105.62267663908429</v>
      </c>
      <c r="J865" s="306">
        <f t="shared" ca="1" si="391"/>
        <v>809.6451793302748</v>
      </c>
      <c r="K865" s="307">
        <f t="shared" ca="1" si="392"/>
        <v>-7.9844103753931446</v>
      </c>
      <c r="L865" s="304">
        <f t="shared" ca="1" si="377"/>
        <v>809.68454797025458</v>
      </c>
      <c r="M865" s="306">
        <f t="shared" ca="1" si="393"/>
        <v>-1.5565058512348655</v>
      </c>
      <c r="N865" s="304">
        <f t="shared" ca="1" si="394"/>
        <v>-89.18121606317537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1.7842999999999964</v>
      </c>
      <c r="T865" s="304">
        <f t="shared" ca="1" si="378"/>
        <v>17.503982999999966</v>
      </c>
      <c r="U865" s="311">
        <f t="shared" ca="1" si="379"/>
        <v>0</v>
      </c>
      <c r="V865" s="306">
        <f t="shared" ca="1" si="380"/>
        <v>1.2259784809006384</v>
      </c>
      <c r="W865" s="304">
        <f t="shared" ca="1" si="381"/>
        <v>18.359642075341114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-0.480549070076286</v>
      </c>
      <c r="AH865" s="304">
        <f t="shared" ca="1" si="405"/>
        <v>-10.289547380739188</v>
      </c>
    </row>
    <row r="866" spans="1:34" x14ac:dyDescent="0.2">
      <c r="A866" s="347">
        <f t="shared" ca="1" si="383"/>
        <v>1E-4</v>
      </c>
      <c r="B866" s="304">
        <f t="shared" ca="1" si="384"/>
        <v>58.020900000001234</v>
      </c>
      <c r="D866" s="306">
        <f t="shared" ca="1" si="385"/>
        <v>-0.14703754213304007</v>
      </c>
      <c r="E866" s="307">
        <f t="shared" ca="1" si="386"/>
        <v>0.4784982488268259</v>
      </c>
      <c r="F866" s="304">
        <f t="shared" ca="1" si="387"/>
        <v>0.50058027620638879</v>
      </c>
      <c r="G866" s="306">
        <f t="shared" ca="1" si="388"/>
        <v>1.5093322015608488</v>
      </c>
      <c r="H866" s="307">
        <f t="shared" ca="1" si="389"/>
        <v>-105.61184396319008</v>
      </c>
      <c r="I866" s="304">
        <f t="shared" ca="1" si="390"/>
        <v>105.62262858402964</v>
      </c>
      <c r="J866" s="306">
        <f t="shared" ca="1" si="391"/>
        <v>809.6451793302748</v>
      </c>
      <c r="K866" s="307">
        <f t="shared" ca="1" si="392"/>
        <v>-7.9949715621819548</v>
      </c>
      <c r="L866" s="304">
        <f t="shared" ca="1" si="377"/>
        <v>809.68465218443714</v>
      </c>
      <c r="M866" s="306">
        <f t="shared" ca="1" si="393"/>
        <v>-1.5565059839571767</v>
      </c>
      <c r="N866" s="304">
        <f t="shared" ca="1" si="394"/>
        <v>-89.181223667603646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1.7842999999999964</v>
      </c>
      <c r="T866" s="304">
        <f t="shared" ca="1" si="378"/>
        <v>17.503982999999966</v>
      </c>
      <c r="U866" s="311">
        <f t="shared" ca="1" si="379"/>
        <v>0</v>
      </c>
      <c r="V866" s="306">
        <f t="shared" ca="1" si="380"/>
        <v>1.2259797756803024</v>
      </c>
      <c r="W866" s="304">
        <f t="shared" ca="1" si="381"/>
        <v>18.359644759161693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-0.48055055563908766</v>
      </c>
      <c r="AH866" s="304">
        <f t="shared" ca="1" si="405"/>
        <v>-10.289548884907891</v>
      </c>
    </row>
    <row r="867" spans="1:34" x14ac:dyDescent="0.2">
      <c r="A867" s="347">
        <f t="shared" ca="1" si="383"/>
        <v>1E-4</v>
      </c>
      <c r="B867" s="304">
        <f t="shared" ca="1" si="384"/>
        <v>58.021000000001237</v>
      </c>
      <c r="D867" s="306">
        <f t="shared" ca="1" si="385"/>
        <v>-0.1470361981135862</v>
      </c>
      <c r="E867" s="307">
        <f t="shared" ca="1" si="386"/>
        <v>0.47849977231911645</v>
      </c>
      <c r="F867" s="304">
        <f t="shared" ca="1" si="387"/>
        <v>0.50058133771160906</v>
      </c>
      <c r="G867" s="306">
        <f t="shared" ca="1" si="388"/>
        <v>1.5093174979410375</v>
      </c>
      <c r="H867" s="307">
        <f t="shared" ca="1" si="389"/>
        <v>-105.61179611321285</v>
      </c>
      <c r="I867" s="304">
        <f t="shared" ca="1" si="390"/>
        <v>105.62258052882646</v>
      </c>
      <c r="J867" s="306">
        <f t="shared" ca="1" si="391"/>
        <v>809.6451793302748</v>
      </c>
      <c r="K867" s="307">
        <f t="shared" ca="1" si="392"/>
        <v>-8.0055327441857749</v>
      </c>
      <c r="L867" s="304">
        <f t="shared" ca="1" si="377"/>
        <v>809.68475653631458</v>
      </c>
      <c r="M867" s="306">
        <f t="shared" ca="1" si="393"/>
        <v>-1.5565061166783156</v>
      </c>
      <c r="N867" s="304">
        <f t="shared" ca="1" si="394"/>
        <v>-89.181231271964762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1.7842999999999964</v>
      </c>
      <c r="T867" s="304">
        <f t="shared" ca="1" si="378"/>
        <v>17.503982999999966</v>
      </c>
      <c r="U867" s="311">
        <f t="shared" ca="1" si="379"/>
        <v>0</v>
      </c>
      <c r="V867" s="306">
        <f t="shared" ca="1" si="380"/>
        <v>1.2259810704607474</v>
      </c>
      <c r="W867" s="304">
        <f t="shared" ca="1" si="381"/>
        <v>18.359647442914646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-0.48055204116431938</v>
      </c>
      <c r="AH867" s="304">
        <f t="shared" ca="1" si="405"/>
        <v>-10.289550389038688</v>
      </c>
    </row>
    <row r="868" spans="1:34" x14ac:dyDescent="0.2">
      <c r="A868" s="347">
        <f t="shared" ca="1" si="383"/>
        <v>1E-4</v>
      </c>
      <c r="B868" s="304">
        <f t="shared" ca="1" si="384"/>
        <v>58.02110000000124</v>
      </c>
      <c r="D868" s="306">
        <f t="shared" ca="1" si="385"/>
        <v>-0.1470348541052488</v>
      </c>
      <c r="E868" s="307">
        <f t="shared" ca="1" si="386"/>
        <v>0.47850129577315847</v>
      </c>
      <c r="F868" s="304">
        <f t="shared" ca="1" si="387"/>
        <v>0.50058239918952752</v>
      </c>
      <c r="G868" s="306">
        <f t="shared" ca="1" si="388"/>
        <v>1.509302794455627</v>
      </c>
      <c r="H868" s="307">
        <f t="shared" ca="1" si="389"/>
        <v>-105.61174826308327</v>
      </c>
      <c r="I868" s="304">
        <f t="shared" ca="1" si="390"/>
        <v>105.62253247347472</v>
      </c>
      <c r="J868" s="306">
        <f t="shared" ca="1" si="391"/>
        <v>809.6451793302748</v>
      </c>
      <c r="K868" s="307">
        <f t="shared" ca="1" si="392"/>
        <v>-8.0160939214045897</v>
      </c>
      <c r="L868" s="304">
        <f t="shared" ca="1" si="377"/>
        <v>809.68486102588679</v>
      </c>
      <c r="M868" s="306">
        <f t="shared" ca="1" si="393"/>
        <v>-1.5565062493982824</v>
      </c>
      <c r="N868" s="304">
        <f t="shared" ca="1" si="394"/>
        <v>-89.181238876258718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1.7842999999999964</v>
      </c>
      <c r="T868" s="304">
        <f t="shared" ca="1" si="378"/>
        <v>17.503982999999966</v>
      </c>
      <c r="U868" s="311">
        <f t="shared" ca="1" si="379"/>
        <v>0</v>
      </c>
      <c r="V868" s="306">
        <f t="shared" ca="1" si="380"/>
        <v>1.2259823652419741</v>
      </c>
      <c r="W868" s="304">
        <f t="shared" ca="1" si="381"/>
        <v>18.359650126599981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-0.48055352665199003</v>
      </c>
      <c r="AH868" s="304">
        <f t="shared" ca="1" si="405"/>
        <v>-10.289551893131582</v>
      </c>
    </row>
    <row r="869" spans="1:34" x14ac:dyDescent="0.2">
      <c r="A869" s="347">
        <f t="shared" ca="1" si="383"/>
        <v>1E-4</v>
      </c>
      <c r="B869" s="304">
        <f t="shared" ca="1" si="384"/>
        <v>58.021200000001244</v>
      </c>
      <c r="D869" s="306">
        <f t="shared" ca="1" si="385"/>
        <v>-0.14703351010802804</v>
      </c>
      <c r="E869" s="307">
        <f t="shared" ca="1" si="386"/>
        <v>0.47850281918896265</v>
      </c>
      <c r="F869" s="304">
        <f t="shared" ca="1" si="387"/>
        <v>0.50058346064015402</v>
      </c>
      <c r="G869" s="306">
        <f t="shared" ca="1" si="388"/>
        <v>1.5092880911046163</v>
      </c>
      <c r="H869" s="307">
        <f t="shared" ca="1" si="389"/>
        <v>-105.61170041280135</v>
      </c>
      <c r="I869" s="304">
        <f t="shared" ca="1" si="390"/>
        <v>105.62248441797445</v>
      </c>
      <c r="J869" s="306">
        <f t="shared" ca="1" si="391"/>
        <v>809.6451793302748</v>
      </c>
      <c r="K869" s="307">
        <f t="shared" ca="1" si="392"/>
        <v>-8.026655093838384</v>
      </c>
      <c r="L869" s="304">
        <f t="shared" ca="1" si="377"/>
        <v>809.68496565315343</v>
      </c>
      <c r="M869" s="306">
        <f t="shared" ca="1" si="393"/>
        <v>-1.556506382117077</v>
      </c>
      <c r="N869" s="304">
        <f t="shared" ca="1" si="394"/>
        <v>-89.181246480485513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1.7842999999999964</v>
      </c>
      <c r="T869" s="304">
        <f t="shared" ca="1" si="378"/>
        <v>17.503982999999966</v>
      </c>
      <c r="U869" s="311">
        <f t="shared" ca="1" si="379"/>
        <v>0</v>
      </c>
      <c r="V869" s="306">
        <f t="shared" ca="1" si="380"/>
        <v>1.2259836600239826</v>
      </c>
      <c r="W869" s="304">
        <f t="shared" ca="1" si="381"/>
        <v>18.359652810217693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-0.48055501210209783</v>
      </c>
      <c r="AH869" s="304">
        <f t="shared" ca="1" si="405"/>
        <v>-10.289553397186582</v>
      </c>
    </row>
    <row r="870" spans="1:34" x14ac:dyDescent="0.2">
      <c r="A870" s="347">
        <f t="shared" ca="1" si="383"/>
        <v>1E-4</v>
      </c>
      <c r="B870" s="304">
        <f t="shared" ca="1" si="384"/>
        <v>58.021300000001247</v>
      </c>
      <c r="D870" s="306">
        <f t="shared" ca="1" si="385"/>
        <v>-0.14703216612192382</v>
      </c>
      <c r="E870" s="307">
        <f t="shared" ca="1" si="386"/>
        <v>0.47850434256652186</v>
      </c>
      <c r="F870" s="304">
        <f t="shared" ca="1" si="387"/>
        <v>0.50058452206348159</v>
      </c>
      <c r="G870" s="306">
        <f t="shared" ca="1" si="388"/>
        <v>1.509273387888004</v>
      </c>
      <c r="H870" s="307">
        <f t="shared" ca="1" si="389"/>
        <v>-105.6116525623671</v>
      </c>
      <c r="I870" s="304">
        <f t="shared" ca="1" si="390"/>
        <v>105.62243636232563</v>
      </c>
      <c r="J870" s="306">
        <f t="shared" ca="1" si="391"/>
        <v>809.6451793302748</v>
      </c>
      <c r="K870" s="307">
        <f t="shared" ca="1" si="392"/>
        <v>-8.0372162614871421</v>
      </c>
      <c r="L870" s="304">
        <f t="shared" ca="1" si="377"/>
        <v>809.68507041811438</v>
      </c>
      <c r="M870" s="306">
        <f t="shared" ca="1" si="393"/>
        <v>-1.5565065148346995</v>
      </c>
      <c r="N870" s="304">
        <f t="shared" ca="1" si="394"/>
        <v>-89.181254084645147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1.7842999999999964</v>
      </c>
      <c r="T870" s="304">
        <f t="shared" ca="1" si="378"/>
        <v>17.503982999999966</v>
      </c>
      <c r="U870" s="311">
        <f t="shared" ca="1" si="379"/>
        <v>0</v>
      </c>
      <c r="V870" s="306">
        <f t="shared" ca="1" si="380"/>
        <v>1.2259849548067718</v>
      </c>
      <c r="W870" s="304">
        <f t="shared" ca="1" si="381"/>
        <v>18.359655493767768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-0.48055649751464635</v>
      </c>
      <c r="AH870" s="304">
        <f t="shared" ca="1" si="405"/>
        <v>-10.289554901203681</v>
      </c>
    </row>
    <row r="871" spans="1:34" x14ac:dyDescent="0.2">
      <c r="A871" s="347">
        <f t="shared" ca="1" si="383"/>
        <v>1E-4</v>
      </c>
      <c r="B871" s="304">
        <f t="shared" ca="1" si="384"/>
        <v>58.02140000000125</v>
      </c>
      <c r="D871" s="306">
        <f t="shared" ca="1" si="385"/>
        <v>-0.14703082214693608</v>
      </c>
      <c r="E871" s="307">
        <f t="shared" ca="1" si="386"/>
        <v>0.47850586590583255</v>
      </c>
      <c r="F871" s="304">
        <f t="shared" ca="1" si="387"/>
        <v>0.50058558345950654</v>
      </c>
      <c r="G871" s="306">
        <f t="shared" ca="1" si="388"/>
        <v>1.5092586848057894</v>
      </c>
      <c r="H871" s="307">
        <f t="shared" ca="1" si="389"/>
        <v>-105.6116047117805</v>
      </c>
      <c r="I871" s="304">
        <f t="shared" ca="1" si="390"/>
        <v>105.62238830652826</v>
      </c>
      <c r="J871" s="306">
        <f t="shared" ca="1" si="391"/>
        <v>809.6451793302748</v>
      </c>
      <c r="K871" s="307">
        <f t="shared" ca="1" si="392"/>
        <v>-8.0477774243508495</v>
      </c>
      <c r="L871" s="304">
        <f t="shared" ca="1" si="377"/>
        <v>809.68517532076919</v>
      </c>
      <c r="M871" s="306">
        <f t="shared" ca="1" si="393"/>
        <v>-1.55650664755115</v>
      </c>
      <c r="N871" s="304">
        <f t="shared" ca="1" si="394"/>
        <v>-89.181261688737621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1.7842999999999964</v>
      </c>
      <c r="T871" s="304">
        <f t="shared" ca="1" si="378"/>
        <v>17.503982999999966</v>
      </c>
      <c r="U871" s="311">
        <f t="shared" ca="1" si="379"/>
        <v>0</v>
      </c>
      <c r="V871" s="306">
        <f t="shared" ca="1" si="380"/>
        <v>1.2259862495903426</v>
      </c>
      <c r="W871" s="304">
        <f t="shared" ca="1" si="381"/>
        <v>18.359658177250218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-0.48055798288962492</v>
      </c>
      <c r="AH871" s="304">
        <f t="shared" ca="1" si="405"/>
        <v>-10.289556405182875</v>
      </c>
    </row>
    <row r="872" spans="1:34" x14ac:dyDescent="0.2">
      <c r="A872" s="347">
        <f t="shared" ca="1" si="383"/>
        <v>1E-4</v>
      </c>
      <c r="B872" s="304">
        <f t="shared" ca="1" si="384"/>
        <v>58.021500000001254</v>
      </c>
      <c r="D872" s="306">
        <f t="shared" ca="1" si="385"/>
        <v>-0.14702947818306267</v>
      </c>
      <c r="E872" s="307">
        <f t="shared" ca="1" si="386"/>
        <v>0.47850738920689651</v>
      </c>
      <c r="F872" s="304">
        <f t="shared" ca="1" si="387"/>
        <v>0.50058664482822957</v>
      </c>
      <c r="G872" s="306">
        <f t="shared" ca="1" si="388"/>
        <v>1.509243981857971</v>
      </c>
      <c r="H872" s="307">
        <f t="shared" ca="1" si="389"/>
        <v>-105.61155686104158</v>
      </c>
      <c r="I872" s="304">
        <f t="shared" ca="1" si="390"/>
        <v>105.62234025058237</v>
      </c>
      <c r="J872" s="306">
        <f t="shared" ca="1" si="391"/>
        <v>809.6451793302748</v>
      </c>
      <c r="K872" s="307">
        <f t="shared" ca="1" si="392"/>
        <v>-8.0583385824294904</v>
      </c>
      <c r="L872" s="304">
        <f t="shared" ca="1" si="377"/>
        <v>809.68528036111775</v>
      </c>
      <c r="M872" s="306">
        <f t="shared" ca="1" si="393"/>
        <v>-1.5565067802664281</v>
      </c>
      <c r="N872" s="304">
        <f t="shared" ca="1" si="394"/>
        <v>-89.181269292762934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1.7842999999999964</v>
      </c>
      <c r="T872" s="304">
        <f t="shared" ca="1" si="378"/>
        <v>17.503982999999966</v>
      </c>
      <c r="U872" s="311">
        <f t="shared" ca="1" si="379"/>
        <v>0</v>
      </c>
      <c r="V872" s="306">
        <f t="shared" ca="1" si="380"/>
        <v>1.2259875443746944</v>
      </c>
      <c r="W872" s="304">
        <f t="shared" ca="1" si="381"/>
        <v>18.359660860665041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-0.48055946822704065</v>
      </c>
      <c r="AH872" s="304">
        <f t="shared" ca="1" si="405"/>
        <v>-10.289557909124168</v>
      </c>
    </row>
    <row r="873" spans="1:34" x14ac:dyDescent="0.2">
      <c r="A873" s="347">
        <f t="shared" ca="1" si="383"/>
        <v>1E-4</v>
      </c>
      <c r="B873" s="304">
        <f t="shared" ca="1" si="384"/>
        <v>58.021600000001257</v>
      </c>
      <c r="D873" s="306">
        <f t="shared" ca="1" si="385"/>
        <v>-0.14702813423030814</v>
      </c>
      <c r="E873" s="307">
        <f t="shared" ca="1" si="386"/>
        <v>0.47850891246971905</v>
      </c>
      <c r="F873" s="304">
        <f t="shared" ca="1" si="387"/>
        <v>0.50058770616965687</v>
      </c>
      <c r="G873" s="306">
        <f t="shared" ca="1" si="388"/>
        <v>1.5092292790445481</v>
      </c>
      <c r="H873" s="307">
        <f t="shared" ca="1" si="389"/>
        <v>-105.61150901015033</v>
      </c>
      <c r="I873" s="304">
        <f t="shared" ca="1" si="390"/>
        <v>105.62229219448794</v>
      </c>
      <c r="J873" s="306">
        <f t="shared" ca="1" si="391"/>
        <v>809.6451793302748</v>
      </c>
      <c r="K873" s="307">
        <f t="shared" ca="1" si="392"/>
        <v>-8.0688997357230505</v>
      </c>
      <c r="L873" s="304">
        <f t="shared" ca="1" si="377"/>
        <v>809.68538553915994</v>
      </c>
      <c r="M873" s="306">
        <f t="shared" ca="1" si="393"/>
        <v>-1.5565069129805342</v>
      </c>
      <c r="N873" s="304">
        <f t="shared" ca="1" si="394"/>
        <v>-89.181276896721101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1.7842999999999964</v>
      </c>
      <c r="T873" s="304">
        <f t="shared" ca="1" si="378"/>
        <v>17.503982999999966</v>
      </c>
      <c r="U873" s="311">
        <f t="shared" ca="1" si="379"/>
        <v>0</v>
      </c>
      <c r="V873" s="306">
        <f t="shared" ca="1" si="380"/>
        <v>1.2259888391598281</v>
      </c>
      <c r="W873" s="304">
        <f t="shared" ca="1" si="381"/>
        <v>18.35966354401225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-0.48056095352689177</v>
      </c>
      <c r="AH873" s="304">
        <f t="shared" ca="1" si="405"/>
        <v>-10.289559413027561</v>
      </c>
    </row>
    <row r="874" spans="1:34" x14ac:dyDescent="0.2">
      <c r="A874" s="347">
        <f t="shared" ca="1" si="383"/>
        <v>1E-4</v>
      </c>
      <c r="B874" s="304">
        <f t="shared" ca="1" si="384"/>
        <v>58.02170000000126</v>
      </c>
      <c r="D874" s="306">
        <f t="shared" ca="1" si="385"/>
        <v>-0.14702679028866805</v>
      </c>
      <c r="E874" s="307">
        <f t="shared" ca="1" si="386"/>
        <v>0.47851043569430018</v>
      </c>
      <c r="F874" s="304">
        <f t="shared" ca="1" si="387"/>
        <v>0.500588767483787</v>
      </c>
      <c r="G874" s="306">
        <f t="shared" ca="1" si="388"/>
        <v>1.5092145763655191</v>
      </c>
      <c r="H874" s="307">
        <f t="shared" ca="1" si="389"/>
        <v>-105.61146115910675</v>
      </c>
      <c r="I874" s="304">
        <f t="shared" ca="1" si="390"/>
        <v>105.62224413824499</v>
      </c>
      <c r="J874" s="306">
        <f t="shared" ca="1" si="391"/>
        <v>809.6451793302748</v>
      </c>
      <c r="K874" s="307">
        <f t="shared" ca="1" si="392"/>
        <v>-8.0794608842315139</v>
      </c>
      <c r="L874" s="304">
        <f t="shared" ca="1" si="377"/>
        <v>809.68549085489531</v>
      </c>
      <c r="M874" s="306">
        <f t="shared" ca="1" si="393"/>
        <v>-1.5565070456934682</v>
      </c>
      <c r="N874" s="304">
        <f t="shared" ca="1" si="394"/>
        <v>-89.181284500612108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1.7842999999999964</v>
      </c>
      <c r="T874" s="304">
        <f t="shared" ca="1" si="378"/>
        <v>17.503982999999966</v>
      </c>
      <c r="U874" s="311">
        <f t="shared" ca="1" si="379"/>
        <v>0</v>
      </c>
      <c r="V874" s="306">
        <f t="shared" ca="1" si="380"/>
        <v>1.2259901339457424</v>
      </c>
      <c r="W874" s="304">
        <f t="shared" ca="1" si="381"/>
        <v>18.359666227291829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 t="e">
        <f t="shared" ca="1" si="382"/>
        <v>#N/A</v>
      </c>
      <c r="AG874" s="306">
        <f t="shared" ca="1" si="404"/>
        <v>-0.48056243878918714</v>
      </c>
      <c r="AH874" s="304">
        <f t="shared" ca="1" si="405"/>
        <v>-10.289560916893059</v>
      </c>
    </row>
    <row r="875" spans="1:34" x14ac:dyDescent="0.2">
      <c r="A875" s="347">
        <f t="shared" ca="1" si="383"/>
        <v>1E-4</v>
      </c>
      <c r="B875" s="304">
        <f t="shared" ca="1" si="384"/>
        <v>58.021800000001264</v>
      </c>
      <c r="D875" s="306">
        <f t="shared" ca="1" si="385"/>
        <v>-0.14702544635814457</v>
      </c>
      <c r="E875" s="307">
        <f t="shared" ca="1" si="386"/>
        <v>0.47851195888063813</v>
      </c>
      <c r="F875" s="304">
        <f t="shared" ca="1" si="387"/>
        <v>0.50058982877061853</v>
      </c>
      <c r="G875" s="306">
        <f t="shared" ca="1" si="388"/>
        <v>1.5091998738208834</v>
      </c>
      <c r="H875" s="307">
        <f t="shared" ca="1" si="389"/>
        <v>-105.61141330791087</v>
      </c>
      <c r="I875" s="304">
        <f t="shared" ca="1" si="390"/>
        <v>105.62219608185353</v>
      </c>
      <c r="J875" s="306">
        <f t="shared" ca="1" si="391"/>
        <v>809.6451793302748</v>
      </c>
      <c r="K875" s="307">
        <f t="shared" ca="1" si="392"/>
        <v>-8.0900220279548645</v>
      </c>
      <c r="L875" s="304">
        <f t="shared" ca="1" si="377"/>
        <v>809.68559630832362</v>
      </c>
      <c r="M875" s="306">
        <f t="shared" ca="1" si="393"/>
        <v>-1.55650717840523</v>
      </c>
      <c r="N875" s="304">
        <f t="shared" ca="1" si="394"/>
        <v>-89.181292104435954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1.7842999999999964</v>
      </c>
      <c r="T875" s="304">
        <f t="shared" ca="1" si="378"/>
        <v>17.503982999999966</v>
      </c>
      <c r="U875" s="311">
        <f t="shared" ca="1" si="379"/>
        <v>0</v>
      </c>
      <c r="V875" s="306">
        <f t="shared" ca="1" si="380"/>
        <v>1.2259914287324387</v>
      </c>
      <c r="W875" s="304">
        <f t="shared" ca="1" si="381"/>
        <v>18.3596689105038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-0.48056392401391612</v>
      </c>
      <c r="AH875" s="304">
        <f t="shared" ca="1" si="405"/>
        <v>-10.289562420720655</v>
      </c>
    </row>
    <row r="876" spans="1:34" x14ac:dyDescent="0.2">
      <c r="A876" s="347">
        <f t="shared" ca="1" si="383"/>
        <v>1E-4</v>
      </c>
      <c r="B876" s="304">
        <f t="shared" ca="1" si="384"/>
        <v>58.021900000001267</v>
      </c>
      <c r="D876" s="306">
        <f t="shared" ca="1" si="385"/>
        <v>-0.14702410243873792</v>
      </c>
      <c r="E876" s="307">
        <f t="shared" ca="1" si="386"/>
        <v>0.47851348202873822</v>
      </c>
      <c r="F876" s="304">
        <f t="shared" ca="1" si="387"/>
        <v>0.50059089003015633</v>
      </c>
      <c r="G876" s="306">
        <f t="shared" ca="1" si="388"/>
        <v>1.5091851714106395</v>
      </c>
      <c r="H876" s="307">
        <f t="shared" ca="1" si="389"/>
        <v>-105.61136545656267</v>
      </c>
      <c r="I876" s="304">
        <f t="shared" ca="1" si="390"/>
        <v>105.62214802531354</v>
      </c>
      <c r="J876" s="306">
        <f t="shared" ca="1" si="391"/>
        <v>809.6451793302748</v>
      </c>
      <c r="K876" s="307">
        <f t="shared" ca="1" si="392"/>
        <v>-8.1005831668930881</v>
      </c>
      <c r="L876" s="304">
        <f t="shared" ca="1" si="377"/>
        <v>809.68570189944478</v>
      </c>
      <c r="M876" s="306">
        <f t="shared" ca="1" si="393"/>
        <v>-1.5565073111158196</v>
      </c>
      <c r="N876" s="304">
        <f t="shared" ca="1" si="394"/>
        <v>-89.181299708192626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1.7842999999999964</v>
      </c>
      <c r="T876" s="304">
        <f t="shared" ca="1" si="378"/>
        <v>17.503982999999966</v>
      </c>
      <c r="U876" s="311">
        <f t="shared" ca="1" si="379"/>
        <v>0</v>
      </c>
      <c r="V876" s="306">
        <f t="shared" ca="1" si="380"/>
        <v>1.225992723519916</v>
      </c>
      <c r="W876" s="304">
        <f t="shared" ca="1" si="381"/>
        <v>18.359671593648148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-0.48056540920109292</v>
      </c>
      <c r="AH876" s="304">
        <f t="shared" ca="1" si="405"/>
        <v>-10.289563924510361</v>
      </c>
    </row>
    <row r="877" spans="1:34" x14ac:dyDescent="0.2">
      <c r="A877" s="347">
        <f t="shared" ca="1" si="383"/>
        <v>1E-4</v>
      </c>
      <c r="B877" s="304">
        <f t="shared" ca="1" si="384"/>
        <v>58.02200000000127</v>
      </c>
      <c r="D877" s="306">
        <f t="shared" ca="1" si="385"/>
        <v>-0.14702275853044797</v>
      </c>
      <c r="E877" s="307">
        <f t="shared" ca="1" si="386"/>
        <v>0.4785150051385969</v>
      </c>
      <c r="F877" s="304">
        <f t="shared" ca="1" si="387"/>
        <v>0.50059195126239675</v>
      </c>
      <c r="G877" s="306">
        <f t="shared" ca="1" si="388"/>
        <v>1.5091704691347865</v>
      </c>
      <c r="H877" s="307">
        <f t="shared" ca="1" si="389"/>
        <v>-105.61131760506215</v>
      </c>
      <c r="I877" s="304">
        <f t="shared" ca="1" si="390"/>
        <v>105.62209996862504</v>
      </c>
      <c r="J877" s="306">
        <f t="shared" ca="1" si="391"/>
        <v>809.6451793302748</v>
      </c>
      <c r="K877" s="307">
        <f t="shared" ca="1" si="392"/>
        <v>-8.1111443010461688</v>
      </c>
      <c r="L877" s="304">
        <f t="shared" ca="1" si="377"/>
        <v>809.68580762825843</v>
      </c>
      <c r="M877" s="306">
        <f t="shared" ca="1" si="393"/>
        <v>-1.5565074438252373</v>
      </c>
      <c r="N877" s="304">
        <f t="shared" ca="1" si="394"/>
        <v>-89.181307311882165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1.7842999999999964</v>
      </c>
      <c r="T877" s="304">
        <f t="shared" ca="1" si="378"/>
        <v>17.503982999999966</v>
      </c>
      <c r="U877" s="311">
        <f t="shared" ca="1" si="379"/>
        <v>0</v>
      </c>
      <c r="V877" s="306">
        <f t="shared" ca="1" si="380"/>
        <v>1.225994018308175</v>
      </c>
      <c r="W877" s="304">
        <f t="shared" ca="1" si="381"/>
        <v>18.359674276724881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-0.4805668943507051</v>
      </c>
      <c r="AH877" s="304">
        <f t="shared" ca="1" si="405"/>
        <v>-10.289565428262167</v>
      </c>
    </row>
    <row r="878" spans="1:34" x14ac:dyDescent="0.2">
      <c r="A878" s="347">
        <f t="shared" ca="1" si="383"/>
        <v>1E-4</v>
      </c>
      <c r="B878" s="304">
        <f t="shared" ca="1" si="384"/>
        <v>58.022100000001274</v>
      </c>
      <c r="D878" s="306">
        <f t="shared" ca="1" si="385"/>
        <v>-0.14702141463327256</v>
      </c>
      <c r="E878" s="307">
        <f t="shared" ca="1" si="386"/>
        <v>0.47851652821021951</v>
      </c>
      <c r="F878" s="304">
        <f t="shared" ca="1" si="387"/>
        <v>0.500593012467344</v>
      </c>
      <c r="G878" s="306">
        <f t="shared" ca="1" si="388"/>
        <v>1.5091557669933231</v>
      </c>
      <c r="H878" s="307">
        <f t="shared" ca="1" si="389"/>
        <v>-105.61126975340933</v>
      </c>
      <c r="I878" s="304">
        <f t="shared" ca="1" si="390"/>
        <v>105.62205191178801</v>
      </c>
      <c r="J878" s="306">
        <f t="shared" ca="1" si="391"/>
        <v>809.6451793302748</v>
      </c>
      <c r="K878" s="307">
        <f t="shared" ca="1" si="392"/>
        <v>-8.1217054304140923</v>
      </c>
      <c r="L878" s="304">
        <f t="shared" ca="1" si="377"/>
        <v>809.68591349476446</v>
      </c>
      <c r="M878" s="306">
        <f t="shared" ca="1" si="393"/>
        <v>-1.556507576533483</v>
      </c>
      <c r="N878" s="304">
        <f t="shared" ca="1" si="394"/>
        <v>-89.181314915504558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1.7842999999999964</v>
      </c>
      <c r="T878" s="304">
        <f t="shared" ca="1" si="378"/>
        <v>17.503982999999966</v>
      </c>
      <c r="U878" s="311">
        <f t="shared" ca="1" si="379"/>
        <v>0</v>
      </c>
      <c r="V878" s="306">
        <f t="shared" ca="1" si="380"/>
        <v>1.2259953130972152</v>
      </c>
      <c r="W878" s="304">
        <f t="shared" ca="1" si="381"/>
        <v>18.359676959733992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-0.48056837946276154</v>
      </c>
      <c r="AH878" s="304">
        <f t="shared" ca="1" si="405"/>
        <v>-10.289566931976079</v>
      </c>
    </row>
    <row r="879" spans="1:34" x14ac:dyDescent="0.2">
      <c r="A879" s="347">
        <f t="shared" ca="1" si="383"/>
        <v>1E-4</v>
      </c>
      <c r="B879" s="304">
        <f t="shared" ca="1" si="384"/>
        <v>58.022200000001277</v>
      </c>
      <c r="D879" s="306">
        <f t="shared" ca="1" si="385"/>
        <v>-0.1470200707472116</v>
      </c>
      <c r="E879" s="307">
        <f t="shared" ca="1" si="386"/>
        <v>0.47851805124359714</v>
      </c>
      <c r="F879" s="304">
        <f t="shared" ca="1" si="387"/>
        <v>0.50059407364498931</v>
      </c>
      <c r="G879" s="306">
        <f t="shared" ca="1" si="388"/>
        <v>1.5091410649862484</v>
      </c>
      <c r="H879" s="307">
        <f t="shared" ca="1" si="389"/>
        <v>-105.61122190160421</v>
      </c>
      <c r="I879" s="304">
        <f t="shared" ca="1" si="390"/>
        <v>105.62200385480249</v>
      </c>
      <c r="J879" s="306">
        <f t="shared" ca="1" si="391"/>
        <v>809.6451793302748</v>
      </c>
      <c r="K879" s="307">
        <f t="shared" ca="1" si="392"/>
        <v>-8.1322665549968427</v>
      </c>
      <c r="L879" s="304">
        <f t="shared" ca="1" si="377"/>
        <v>809.68601949896254</v>
      </c>
      <c r="M879" s="306">
        <f t="shared" ca="1" si="393"/>
        <v>-1.5565077092405564</v>
      </c>
      <c r="N879" s="304">
        <f t="shared" ca="1" si="394"/>
        <v>-89.181322519059762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1.7842999999999964</v>
      </c>
      <c r="T879" s="304">
        <f t="shared" ca="1" si="378"/>
        <v>17.503982999999966</v>
      </c>
      <c r="U879" s="311">
        <f t="shared" ca="1" si="379"/>
        <v>0</v>
      </c>
      <c r="V879" s="306">
        <f t="shared" ca="1" si="380"/>
        <v>1.2259966078870366</v>
      </c>
      <c r="W879" s="304">
        <f t="shared" ca="1" si="381"/>
        <v>18.359679642675491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-0.48056986453725692</v>
      </c>
      <c r="AH879" s="304">
        <f t="shared" ca="1" si="405"/>
        <v>-10.289568435652093</v>
      </c>
    </row>
    <row r="880" spans="1:34" x14ac:dyDescent="0.2">
      <c r="A880" s="347">
        <f t="shared" ca="1" si="383"/>
        <v>1E-4</v>
      </c>
      <c r="B880" s="304">
        <f t="shared" ca="1" si="384"/>
        <v>58.02230000000128</v>
      </c>
      <c r="D880" s="306">
        <f t="shared" ca="1" si="385"/>
        <v>-0.1470187268722698</v>
      </c>
      <c r="E880" s="307">
        <f t="shared" ca="1" si="386"/>
        <v>0.4785195742387387</v>
      </c>
      <c r="F880" s="304">
        <f t="shared" ca="1" si="387"/>
        <v>0.50059513479534223</v>
      </c>
      <c r="G880" s="306">
        <f t="shared" ca="1" si="388"/>
        <v>1.5091263631135612</v>
      </c>
      <c r="H880" s="307">
        <f t="shared" ca="1" si="389"/>
        <v>-105.61117404964679</v>
      </c>
      <c r="I880" s="304">
        <f t="shared" ca="1" si="390"/>
        <v>105.62195579766848</v>
      </c>
      <c r="J880" s="306">
        <f t="shared" ca="1" si="391"/>
        <v>809.6451793302748</v>
      </c>
      <c r="K880" s="307">
        <f t="shared" ca="1" si="392"/>
        <v>-8.1428276747944057</v>
      </c>
      <c r="L880" s="304">
        <f t="shared" ca="1" si="377"/>
        <v>809.68612564085242</v>
      </c>
      <c r="M880" s="306">
        <f t="shared" ca="1" si="393"/>
        <v>-1.556507841946458</v>
      </c>
      <c r="N880" s="304">
        <f t="shared" ca="1" si="394"/>
        <v>-89.181330122547848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1.7842999999999964</v>
      </c>
      <c r="T880" s="304">
        <f t="shared" ca="1" si="378"/>
        <v>17.503982999999966</v>
      </c>
      <c r="U880" s="311">
        <f t="shared" ca="1" si="379"/>
        <v>0</v>
      </c>
      <c r="V880" s="306">
        <f t="shared" ca="1" si="380"/>
        <v>1.2259979026776393</v>
      </c>
      <c r="W880" s="304">
        <f t="shared" ca="1" si="381"/>
        <v>18.359682325549386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-0.48057134957419656</v>
      </c>
      <c r="AH880" s="304">
        <f t="shared" ca="1" si="405"/>
        <v>-10.289569939290214</v>
      </c>
    </row>
    <row r="881" spans="1:34" x14ac:dyDescent="0.2">
      <c r="A881" s="347">
        <f t="shared" ca="1" si="383"/>
        <v>1E-4</v>
      </c>
      <c r="B881" s="304">
        <f t="shared" ca="1" si="384"/>
        <v>58.022400000001284</v>
      </c>
      <c r="D881" s="306">
        <f t="shared" ca="1" si="385"/>
        <v>-0.14701738300844039</v>
      </c>
      <c r="E881" s="307">
        <f t="shared" ca="1" si="386"/>
        <v>0.47852109719564595</v>
      </c>
      <c r="F881" s="304">
        <f t="shared" ca="1" si="387"/>
        <v>0.50059619591840221</v>
      </c>
      <c r="G881" s="306">
        <f t="shared" ca="1" si="388"/>
        <v>1.5091116613752604</v>
      </c>
      <c r="H881" s="307">
        <f t="shared" ca="1" si="389"/>
        <v>-105.61112619753708</v>
      </c>
      <c r="I881" s="304">
        <f t="shared" ca="1" si="390"/>
        <v>105.62190774038595</v>
      </c>
      <c r="J881" s="306">
        <f t="shared" ca="1" si="391"/>
        <v>809.6451793302748</v>
      </c>
      <c r="K881" s="307">
        <f t="shared" ca="1" si="392"/>
        <v>-8.1533887898067654</v>
      </c>
      <c r="L881" s="304">
        <f t="shared" ca="1" si="377"/>
        <v>809.68623192043378</v>
      </c>
      <c r="M881" s="306">
        <f t="shared" ca="1" si="393"/>
        <v>-1.5565079746511874</v>
      </c>
      <c r="N881" s="304">
        <f t="shared" ca="1" si="394"/>
        <v>-89.18133772596876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1.7842999999999964</v>
      </c>
      <c r="T881" s="304">
        <f t="shared" ca="1" si="378"/>
        <v>17.503982999999966</v>
      </c>
      <c r="U881" s="311">
        <f t="shared" ca="1" si="379"/>
        <v>0</v>
      </c>
      <c r="V881" s="306">
        <f t="shared" ca="1" si="380"/>
        <v>1.2259991974690236</v>
      </c>
      <c r="W881" s="304">
        <f t="shared" ca="1" si="381"/>
        <v>18.359685008355658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-0.48057283457358579</v>
      </c>
      <c r="AH881" s="304">
        <f t="shared" ca="1" si="405"/>
        <v>-10.289571442890447</v>
      </c>
    </row>
    <row r="882" spans="1:34" x14ac:dyDescent="0.2">
      <c r="A882" s="347">
        <f t="shared" ca="1" si="383"/>
        <v>1E-4</v>
      </c>
      <c r="B882" s="304">
        <f t="shared" ca="1" si="384"/>
        <v>58.022500000001287</v>
      </c>
      <c r="D882" s="306">
        <f t="shared" ca="1" si="385"/>
        <v>-0.14701603915572775</v>
      </c>
      <c r="E882" s="307">
        <f t="shared" ca="1" si="386"/>
        <v>0.47852262011431357</v>
      </c>
      <c r="F882" s="304">
        <f t="shared" ca="1" si="387"/>
        <v>0.50059725701416513</v>
      </c>
      <c r="G882" s="306">
        <f t="shared" ca="1" si="388"/>
        <v>1.5090969597713448</v>
      </c>
      <c r="H882" s="307">
        <f t="shared" ca="1" si="389"/>
        <v>-105.61107834527506</v>
      </c>
      <c r="I882" s="304">
        <f t="shared" ca="1" si="390"/>
        <v>105.62185968295492</v>
      </c>
      <c r="J882" s="306">
        <f t="shared" ca="1" si="391"/>
        <v>809.6451793302748</v>
      </c>
      <c r="K882" s="307">
        <f t="shared" ca="1" si="392"/>
        <v>-8.1639499000339057</v>
      </c>
      <c r="L882" s="304">
        <f t="shared" ca="1" si="377"/>
        <v>809.68633833770662</v>
      </c>
      <c r="M882" s="306">
        <f t="shared" ca="1" si="393"/>
        <v>-1.5565081073547447</v>
      </c>
      <c r="N882" s="304">
        <f t="shared" ca="1" si="394"/>
        <v>-89.181345329322525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1.7842999999999964</v>
      </c>
      <c r="T882" s="304">
        <f t="shared" ca="1" si="378"/>
        <v>17.503982999999966</v>
      </c>
      <c r="U882" s="311">
        <f t="shared" ca="1" si="379"/>
        <v>0</v>
      </c>
      <c r="V882" s="306">
        <f t="shared" ca="1" si="380"/>
        <v>1.2260004922611891</v>
      </c>
      <c r="W882" s="304">
        <f t="shared" ca="1" si="381"/>
        <v>18.359687691094322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-0.48057431953541041</v>
      </c>
      <c r="AH882" s="304">
        <f t="shared" ca="1" si="405"/>
        <v>-10.289572946452779</v>
      </c>
    </row>
    <row r="883" spans="1:34" x14ac:dyDescent="0.2">
      <c r="A883" s="347">
        <f t="shared" ca="1" si="383"/>
        <v>1E-4</v>
      </c>
      <c r="B883" s="304">
        <f t="shared" ca="1" si="384"/>
        <v>58.02260000000129</v>
      </c>
      <c r="D883" s="306">
        <f t="shared" ca="1" si="385"/>
        <v>-0.14701469531413211</v>
      </c>
      <c r="E883" s="307">
        <f t="shared" ca="1" si="386"/>
        <v>0.47852414299474511</v>
      </c>
      <c r="F883" s="304">
        <f t="shared" ca="1" si="387"/>
        <v>0.50059831808263433</v>
      </c>
      <c r="G883" s="306">
        <f t="shared" ca="1" si="388"/>
        <v>1.5090822583018135</v>
      </c>
      <c r="H883" s="307">
        <f t="shared" ca="1" si="389"/>
        <v>-105.61103049286076</v>
      </c>
      <c r="I883" s="304">
        <f t="shared" ca="1" si="390"/>
        <v>105.6218116253754</v>
      </c>
      <c r="J883" s="306">
        <f t="shared" ca="1" si="391"/>
        <v>809.6451793302748</v>
      </c>
      <c r="K883" s="307">
        <f t="shared" ca="1" si="392"/>
        <v>-8.1745110054758126</v>
      </c>
      <c r="L883" s="304">
        <f t="shared" ca="1" si="377"/>
        <v>809.68644489267047</v>
      </c>
      <c r="M883" s="306">
        <f t="shared" ca="1" si="393"/>
        <v>-1.5565082400571302</v>
      </c>
      <c r="N883" s="304">
        <f t="shared" ca="1" si="394"/>
        <v>-89.181352932609144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1.7842999999999964</v>
      </c>
      <c r="T883" s="304">
        <f t="shared" ca="1" si="378"/>
        <v>17.503982999999966</v>
      </c>
      <c r="U883" s="311">
        <f t="shared" ca="1" si="379"/>
        <v>0</v>
      </c>
      <c r="V883" s="306">
        <f t="shared" ca="1" si="380"/>
        <v>1.226001787054136</v>
      </c>
      <c r="W883" s="304">
        <f t="shared" ca="1" si="381"/>
        <v>18.359690373765375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-0.48057580445968462</v>
      </c>
      <c r="AH883" s="304">
        <f t="shared" ca="1" si="405"/>
        <v>-10.289574449977223</v>
      </c>
    </row>
    <row r="884" spans="1:34" x14ac:dyDescent="0.2">
      <c r="A884" s="347">
        <f t="shared" ca="1" si="383"/>
        <v>1E-4</v>
      </c>
      <c r="B884" s="304">
        <f t="shared" ca="1" si="384"/>
        <v>58.022700000001294</v>
      </c>
      <c r="D884" s="306">
        <f t="shared" ca="1" si="385"/>
        <v>-0.14701335148364883</v>
      </c>
      <c r="E884" s="307">
        <f t="shared" ca="1" si="386"/>
        <v>0.47852566583693878</v>
      </c>
      <c r="F884" s="304">
        <f t="shared" ca="1" si="387"/>
        <v>0.50059937912380648</v>
      </c>
      <c r="G884" s="306">
        <f t="shared" ca="1" si="388"/>
        <v>1.5090675569666652</v>
      </c>
      <c r="H884" s="307">
        <f t="shared" ca="1" si="389"/>
        <v>-105.61098264029418</v>
      </c>
      <c r="I884" s="304">
        <f t="shared" ca="1" si="390"/>
        <v>105.62176356764741</v>
      </c>
      <c r="J884" s="306">
        <f t="shared" ca="1" si="391"/>
        <v>809.6451793302748</v>
      </c>
      <c r="K884" s="307">
        <f t="shared" ca="1" si="392"/>
        <v>-8.1850721061324698</v>
      </c>
      <c r="L884" s="304">
        <f t="shared" ca="1" si="377"/>
        <v>809.68655158532522</v>
      </c>
      <c r="M884" s="306">
        <f t="shared" ca="1" si="393"/>
        <v>-1.5565083727583435</v>
      </c>
      <c r="N884" s="304">
        <f t="shared" ca="1" si="394"/>
        <v>-89.181360535828603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1.7842999999999964</v>
      </c>
      <c r="T884" s="304">
        <f t="shared" ca="1" si="378"/>
        <v>17.503982999999966</v>
      </c>
      <c r="U884" s="311">
        <f t="shared" ca="1" si="379"/>
        <v>0</v>
      </c>
      <c r="V884" s="306">
        <f t="shared" ca="1" si="380"/>
        <v>1.2260030818478638</v>
      </c>
      <c r="W884" s="304">
        <f t="shared" ca="1" si="381"/>
        <v>18.359693056368812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 t="e">
        <f t="shared" ca="1" si="382"/>
        <v>#N/A</v>
      </c>
      <c r="AG884" s="306">
        <f t="shared" ca="1" si="404"/>
        <v>-0.48057728934640132</v>
      </c>
      <c r="AH884" s="304">
        <f t="shared" ca="1" si="405"/>
        <v>-10.289575953463773</v>
      </c>
    </row>
    <row r="885" spans="1:34" x14ac:dyDescent="0.2">
      <c r="A885" s="347">
        <f t="shared" ca="1" si="383"/>
        <v>1E-4</v>
      </c>
      <c r="B885" s="304">
        <f t="shared" ca="1" si="384"/>
        <v>58.022800000001297</v>
      </c>
      <c r="D885" s="306">
        <f t="shared" ca="1" si="385"/>
        <v>-0.14701200766428252</v>
      </c>
      <c r="E885" s="307">
        <f t="shared" ca="1" si="386"/>
        <v>0.47852718864089638</v>
      </c>
      <c r="F885" s="304">
        <f t="shared" ca="1" si="387"/>
        <v>0.50060044013768412</v>
      </c>
      <c r="G885" s="306">
        <f t="shared" ca="1" si="388"/>
        <v>1.5090528557658986</v>
      </c>
      <c r="H885" s="307">
        <f t="shared" ca="1" si="389"/>
        <v>-105.61093478757532</v>
      </c>
      <c r="I885" s="304">
        <f t="shared" ca="1" si="390"/>
        <v>105.62171550977091</v>
      </c>
      <c r="J885" s="306">
        <f t="shared" ca="1" si="391"/>
        <v>809.6451793302748</v>
      </c>
      <c r="K885" s="307">
        <f t="shared" ca="1" si="392"/>
        <v>-8.1956332020038634</v>
      </c>
      <c r="L885" s="304">
        <f t="shared" ca="1" si="377"/>
        <v>809.68665841567054</v>
      </c>
      <c r="M885" s="306">
        <f t="shared" ca="1" si="393"/>
        <v>-1.5565085054583847</v>
      </c>
      <c r="N885" s="304">
        <f t="shared" ca="1" si="394"/>
        <v>-89.181368138980901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1.7842999999999964</v>
      </c>
      <c r="T885" s="304">
        <f t="shared" ca="1" si="378"/>
        <v>17.503982999999966</v>
      </c>
      <c r="U885" s="311">
        <f t="shared" ca="1" si="379"/>
        <v>0</v>
      </c>
      <c r="V885" s="306">
        <f t="shared" ca="1" si="380"/>
        <v>1.2260043766423736</v>
      </c>
      <c r="W885" s="304">
        <f t="shared" ca="1" si="381"/>
        <v>18.359695738904648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-0.48057877419555872</v>
      </c>
      <c r="AH885" s="304">
        <f t="shared" ca="1" si="405"/>
        <v>-10.289577456912429</v>
      </c>
    </row>
    <row r="886" spans="1:34" x14ac:dyDescent="0.2">
      <c r="A886" s="347">
        <f t="shared" ca="1" si="383"/>
        <v>1E-4</v>
      </c>
      <c r="B886" s="304">
        <f t="shared" ca="1" si="384"/>
        <v>58.0229000000013</v>
      </c>
      <c r="D886" s="306">
        <f t="shared" ca="1" si="385"/>
        <v>-0.14701066385603326</v>
      </c>
      <c r="E886" s="307">
        <f t="shared" ca="1" si="386"/>
        <v>0.47852871140662323</v>
      </c>
      <c r="F886" s="304">
        <f t="shared" ca="1" si="387"/>
        <v>0.50060150112427237</v>
      </c>
      <c r="G886" s="306">
        <f t="shared" ca="1" si="388"/>
        <v>1.5090381546995131</v>
      </c>
      <c r="H886" s="307">
        <f t="shared" ca="1" si="389"/>
        <v>-105.61088693470418</v>
      </c>
      <c r="I886" s="304">
        <f t="shared" ca="1" si="390"/>
        <v>105.62166745174595</v>
      </c>
      <c r="J886" s="306">
        <f t="shared" ca="1" si="391"/>
        <v>809.6451793302748</v>
      </c>
      <c r="K886" s="307">
        <f t="shared" ca="1" si="392"/>
        <v>-8.2061942930899772</v>
      </c>
      <c r="L886" s="304">
        <f t="shared" ca="1" si="377"/>
        <v>809.68676538370607</v>
      </c>
      <c r="M886" s="306">
        <f t="shared" ca="1" si="393"/>
        <v>-1.5565086381572542</v>
      </c>
      <c r="N886" s="304">
        <f t="shared" ca="1" si="394"/>
        <v>-89.181375742066066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1.7842999999999964</v>
      </c>
      <c r="T886" s="304">
        <f t="shared" ca="1" si="378"/>
        <v>17.503982999999966</v>
      </c>
      <c r="U886" s="311">
        <f t="shared" ca="1" si="379"/>
        <v>0</v>
      </c>
      <c r="V886" s="306">
        <f t="shared" ca="1" si="380"/>
        <v>1.2260056714376641</v>
      </c>
      <c r="W886" s="304">
        <f t="shared" ca="1" si="381"/>
        <v>18.35969842137288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-0.48058025900717105</v>
      </c>
      <c r="AH886" s="304">
        <f t="shared" ca="1" si="405"/>
        <v>-10.289578960323199</v>
      </c>
    </row>
    <row r="887" spans="1:34" x14ac:dyDescent="0.2">
      <c r="A887" s="347">
        <f t="shared" ca="1" si="383"/>
        <v>1E-4</v>
      </c>
      <c r="B887" s="304">
        <f t="shared" ca="1" si="384"/>
        <v>58.023000000001304</v>
      </c>
      <c r="D887" s="306">
        <f t="shared" ca="1" si="385"/>
        <v>-0.1470093200588965</v>
      </c>
      <c r="E887" s="307">
        <f t="shared" ca="1" si="386"/>
        <v>0.47853023413411755</v>
      </c>
      <c r="F887" s="304">
        <f t="shared" ca="1" si="387"/>
        <v>0.5006025620835679</v>
      </c>
      <c r="G887" s="306">
        <f t="shared" ca="1" si="388"/>
        <v>1.5090234537675071</v>
      </c>
      <c r="H887" s="307">
        <f t="shared" ca="1" si="389"/>
        <v>-105.61083908168077</v>
      </c>
      <c r="I887" s="304">
        <f t="shared" ca="1" si="390"/>
        <v>105.6216193935725</v>
      </c>
      <c r="J887" s="306">
        <f t="shared" ca="1" si="391"/>
        <v>809.6451793302748</v>
      </c>
      <c r="K887" s="307">
        <f t="shared" ca="1" si="392"/>
        <v>-8.216755379390797</v>
      </c>
      <c r="L887" s="304">
        <f t="shared" ca="1" si="377"/>
        <v>809.68687248943195</v>
      </c>
      <c r="M887" s="306">
        <f t="shared" ca="1" si="393"/>
        <v>-1.5565087708549514</v>
      </c>
      <c r="N887" s="304">
        <f t="shared" ca="1" si="394"/>
        <v>-89.181383345084072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1.7842999999999964</v>
      </c>
      <c r="T887" s="304">
        <f t="shared" ca="1" si="378"/>
        <v>17.503982999999966</v>
      </c>
      <c r="U887" s="311">
        <f t="shared" ca="1" si="379"/>
        <v>0</v>
      </c>
      <c r="V887" s="306">
        <f t="shared" ca="1" si="380"/>
        <v>1.2260069662337365</v>
      </c>
      <c r="W887" s="304">
        <f t="shared" ca="1" si="381"/>
        <v>18.359701103773507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-0.48058174378122764</v>
      </c>
      <c r="AH887" s="304">
        <f t="shared" ca="1" si="405"/>
        <v>-10.28958046369608</v>
      </c>
    </row>
    <row r="888" spans="1:34" x14ac:dyDescent="0.2">
      <c r="A888" s="347">
        <f t="shared" ca="1" si="383"/>
        <v>1E-4</v>
      </c>
      <c r="B888" s="304">
        <f t="shared" ca="1" si="384"/>
        <v>58.023100000001307</v>
      </c>
      <c r="D888" s="306">
        <f t="shared" ca="1" si="385"/>
        <v>-0.14700797627287687</v>
      </c>
      <c r="E888" s="307">
        <f t="shared" ca="1" si="386"/>
        <v>0.47853175682337934</v>
      </c>
      <c r="F888" s="304">
        <f t="shared" ca="1" si="387"/>
        <v>0.5006036230155716</v>
      </c>
      <c r="G888" s="306">
        <f t="shared" ca="1" si="388"/>
        <v>1.5090087529698799</v>
      </c>
      <c r="H888" s="307">
        <f t="shared" ca="1" si="389"/>
        <v>-105.61079122850508</v>
      </c>
      <c r="I888" s="304">
        <f t="shared" ca="1" si="390"/>
        <v>105.62157133525056</v>
      </c>
      <c r="J888" s="306">
        <f t="shared" ca="1" si="391"/>
        <v>809.6451793302748</v>
      </c>
      <c r="K888" s="307">
        <f t="shared" ca="1" si="392"/>
        <v>-8.227316460906307</v>
      </c>
      <c r="L888" s="304">
        <f t="shared" ca="1" si="377"/>
        <v>809.68697973284759</v>
      </c>
      <c r="M888" s="306">
        <f t="shared" ca="1" si="393"/>
        <v>-1.5565089035514768</v>
      </c>
      <c r="N888" s="304">
        <f t="shared" ca="1" si="394"/>
        <v>-89.181390948034931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1.7842999999999964</v>
      </c>
      <c r="T888" s="304">
        <f t="shared" ca="1" si="378"/>
        <v>17.503982999999966</v>
      </c>
      <c r="U888" s="311">
        <f t="shared" ca="1" si="379"/>
        <v>0</v>
      </c>
      <c r="V888" s="306">
        <f t="shared" ca="1" si="380"/>
        <v>1.2260082610305898</v>
      </c>
      <c r="W888" s="304">
        <f t="shared" ca="1" si="381"/>
        <v>18.359703786106518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-0.48058322851773561</v>
      </c>
      <c r="AH888" s="304">
        <f t="shared" ca="1" si="405"/>
        <v>-10.289581967031072</v>
      </c>
    </row>
    <row r="889" spans="1:34" x14ac:dyDescent="0.2">
      <c r="A889" s="347">
        <f t="shared" ca="1" si="383"/>
        <v>1E-4</v>
      </c>
      <c r="B889" s="304">
        <f t="shared" ca="1" si="384"/>
        <v>58.02320000000131</v>
      </c>
      <c r="D889" s="306">
        <f t="shared" ca="1" si="385"/>
        <v>-0.14700663249797194</v>
      </c>
      <c r="E889" s="307">
        <f t="shared" ca="1" si="386"/>
        <v>0.47853327947440327</v>
      </c>
      <c r="F889" s="304">
        <f t="shared" ca="1" si="387"/>
        <v>0.50060468392027768</v>
      </c>
      <c r="G889" s="306">
        <f t="shared" ca="1" si="388"/>
        <v>1.5089940523066301</v>
      </c>
      <c r="H889" s="307">
        <f t="shared" ca="1" si="389"/>
        <v>-105.61074337517714</v>
      </c>
      <c r="I889" s="304">
        <f t="shared" ca="1" si="390"/>
        <v>105.62152327678018</v>
      </c>
      <c r="J889" s="306">
        <f t="shared" ca="1" si="391"/>
        <v>809.6451793302748</v>
      </c>
      <c r="K889" s="307">
        <f t="shared" ca="1" si="392"/>
        <v>-8.237877537636491</v>
      </c>
      <c r="L889" s="304">
        <f t="shared" ca="1" si="377"/>
        <v>809.68708711395288</v>
      </c>
      <c r="M889" s="306">
        <f t="shared" ca="1" si="393"/>
        <v>-1.5565090362468303</v>
      </c>
      <c r="N889" s="304">
        <f t="shared" ca="1" si="394"/>
        <v>-89.181398550918658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1.7842999999999964</v>
      </c>
      <c r="T889" s="304">
        <f t="shared" ca="1" si="378"/>
        <v>17.503982999999966</v>
      </c>
      <c r="U889" s="311">
        <f t="shared" ca="1" si="379"/>
        <v>0</v>
      </c>
      <c r="V889" s="306">
        <f t="shared" ca="1" si="380"/>
        <v>1.2260095558282247</v>
      </c>
      <c r="W889" s="304">
        <f t="shared" ca="1" si="381"/>
        <v>18.35970646837194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-0.48058471321668605</v>
      </c>
      <c r="AH889" s="304">
        <f t="shared" ca="1" si="405"/>
        <v>-10.289583470328171</v>
      </c>
    </row>
    <row r="890" spans="1:34" x14ac:dyDescent="0.2">
      <c r="A890" s="347">
        <f t="shared" ca="1" si="383"/>
        <v>1E-4</v>
      </c>
      <c r="B890" s="304">
        <f t="shared" ca="1" si="384"/>
        <v>58.023300000001313</v>
      </c>
      <c r="D890" s="306">
        <f t="shared" ca="1" si="385"/>
        <v>-0.1470052887341797</v>
      </c>
      <c r="E890" s="307">
        <f t="shared" ca="1" si="386"/>
        <v>0.47853480208720178</v>
      </c>
      <c r="F890" s="304">
        <f t="shared" ca="1" si="387"/>
        <v>0.50060574479769693</v>
      </c>
      <c r="G890" s="306">
        <f t="shared" ca="1" si="388"/>
        <v>1.5089793517777568</v>
      </c>
      <c r="H890" s="307">
        <f t="shared" ca="1" si="389"/>
        <v>-105.61069552169693</v>
      </c>
      <c r="I890" s="304">
        <f t="shared" ca="1" si="390"/>
        <v>105.62147521816132</v>
      </c>
      <c r="J890" s="306">
        <f t="shared" ca="1" si="391"/>
        <v>809.6451793302748</v>
      </c>
      <c r="K890" s="307">
        <f t="shared" ca="1" si="392"/>
        <v>-8.2484386095813349</v>
      </c>
      <c r="L890" s="304">
        <f t="shared" ca="1" si="377"/>
        <v>809.68719463274761</v>
      </c>
      <c r="M890" s="306">
        <f t="shared" ca="1" si="393"/>
        <v>-1.5565091689410118</v>
      </c>
      <c r="N890" s="304">
        <f t="shared" ca="1" si="394"/>
        <v>-89.18140615373521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1.7842999999999964</v>
      </c>
      <c r="T890" s="304">
        <f t="shared" ca="1" si="378"/>
        <v>17.503982999999966</v>
      </c>
      <c r="U890" s="311">
        <f t="shared" ca="1" si="379"/>
        <v>0</v>
      </c>
      <c r="V890" s="306">
        <f t="shared" ca="1" si="380"/>
        <v>1.2260108506266407</v>
      </c>
      <c r="W890" s="304">
        <f t="shared" ca="1" si="381"/>
        <v>18.359709150569749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-0.48058619787809143</v>
      </c>
      <c r="AH890" s="304">
        <f t="shared" ca="1" si="405"/>
        <v>-10.289584973587388</v>
      </c>
    </row>
    <row r="891" spans="1:34" x14ac:dyDescent="0.2">
      <c r="A891" s="347">
        <f t="shared" ca="1" si="383"/>
        <v>1E-4</v>
      </c>
      <c r="B891" s="304">
        <f t="shared" ca="1" si="384"/>
        <v>58.023400000001317</v>
      </c>
      <c r="D891" s="306">
        <f t="shared" ca="1" si="385"/>
        <v>-0.14700394498150454</v>
      </c>
      <c r="E891" s="307">
        <f t="shared" ca="1" si="386"/>
        <v>0.47853632466176421</v>
      </c>
      <c r="F891" s="304">
        <f t="shared" ca="1" si="387"/>
        <v>0.50060680564782045</v>
      </c>
      <c r="G891" s="306">
        <f t="shared" ca="1" si="388"/>
        <v>1.5089646513832586</v>
      </c>
      <c r="H891" s="307">
        <f t="shared" ca="1" si="389"/>
        <v>-105.61064766806446</v>
      </c>
      <c r="I891" s="304">
        <f t="shared" ca="1" si="390"/>
        <v>105.621427159394</v>
      </c>
      <c r="J891" s="306">
        <f t="shared" ca="1" si="391"/>
        <v>809.6451793302748</v>
      </c>
      <c r="K891" s="307">
        <f t="shared" ca="1" si="392"/>
        <v>-8.2589996767408227</v>
      </c>
      <c r="L891" s="304">
        <f t="shared" ca="1" si="377"/>
        <v>809.68730228923141</v>
      </c>
      <c r="M891" s="306">
        <f t="shared" ca="1" si="393"/>
        <v>-1.5565093016340212</v>
      </c>
      <c r="N891" s="304">
        <f t="shared" ca="1" si="394"/>
        <v>-89.181413756484631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1.7842999999999964</v>
      </c>
      <c r="T891" s="304">
        <f t="shared" ca="1" si="378"/>
        <v>17.503982999999966</v>
      </c>
      <c r="U891" s="311">
        <f t="shared" ca="1" si="379"/>
        <v>0</v>
      </c>
      <c r="V891" s="306">
        <f t="shared" ca="1" si="380"/>
        <v>1.2260121454258381</v>
      </c>
      <c r="W891" s="304">
        <f t="shared" ca="1" si="381"/>
        <v>18.359711832699965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-0.48058768250194284</v>
      </c>
      <c r="AH891" s="304">
        <f t="shared" ca="1" si="405"/>
        <v>-10.289586476808713</v>
      </c>
    </row>
    <row r="892" spans="1:34" x14ac:dyDescent="0.2">
      <c r="A892" s="347">
        <f t="shared" ca="1" si="383"/>
        <v>1E-4</v>
      </c>
      <c r="B892" s="304">
        <f t="shared" ca="1" si="384"/>
        <v>58.02350000000132</v>
      </c>
      <c r="D892" s="306">
        <f t="shared" ca="1" si="385"/>
        <v>-0.14700260123994432</v>
      </c>
      <c r="E892" s="307">
        <f t="shared" ca="1" si="386"/>
        <v>0.47853784719809944</v>
      </c>
      <c r="F892" s="304">
        <f t="shared" ca="1" si="387"/>
        <v>0.50060786647065547</v>
      </c>
      <c r="G892" s="306">
        <f t="shared" ca="1" si="388"/>
        <v>1.5089499511231346</v>
      </c>
      <c r="H892" s="307">
        <f t="shared" ca="1" si="389"/>
        <v>-105.61059981427974</v>
      </c>
      <c r="I892" s="304">
        <f t="shared" ca="1" si="390"/>
        <v>105.62137910047822</v>
      </c>
      <c r="J892" s="306">
        <f t="shared" ca="1" si="391"/>
        <v>809.6451793302748</v>
      </c>
      <c r="K892" s="307">
        <f t="shared" ca="1" si="392"/>
        <v>-8.2695607391149402</v>
      </c>
      <c r="L892" s="304">
        <f t="shared" ca="1" si="377"/>
        <v>809.68741008340419</v>
      </c>
      <c r="M892" s="306">
        <f t="shared" ca="1" si="393"/>
        <v>-1.5565094343258588</v>
      </c>
      <c r="N892" s="304">
        <f t="shared" ca="1" si="394"/>
        <v>-89.18142135916689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1.7842999999999964</v>
      </c>
      <c r="T892" s="304">
        <f t="shared" ca="1" si="378"/>
        <v>17.503982999999966</v>
      </c>
      <c r="U892" s="311">
        <f t="shared" ca="1" si="379"/>
        <v>0</v>
      </c>
      <c r="V892" s="306">
        <f t="shared" ca="1" si="380"/>
        <v>1.2260134402258167</v>
      </c>
      <c r="W892" s="304">
        <f t="shared" ca="1" si="381"/>
        <v>18.359714514762576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-0.48058916708824562</v>
      </c>
      <c r="AH892" s="304">
        <f t="shared" ca="1" si="405"/>
        <v>-10.289587979992154</v>
      </c>
    </row>
    <row r="893" spans="1:34" x14ac:dyDescent="0.2">
      <c r="A893" s="347">
        <f t="shared" ca="1" si="383"/>
        <v>1E-4</v>
      </c>
      <c r="B893" s="304">
        <f t="shared" ca="1" si="384"/>
        <v>58.023600000001323</v>
      </c>
      <c r="D893" s="306">
        <f t="shared" ca="1" si="385"/>
        <v>-0.14700125750949905</v>
      </c>
      <c r="E893" s="307">
        <f t="shared" ca="1" si="386"/>
        <v>0.47853936969620392</v>
      </c>
      <c r="F893" s="304">
        <f t="shared" ca="1" si="387"/>
        <v>0.50060892726619866</v>
      </c>
      <c r="G893" s="306">
        <f t="shared" ca="1" si="388"/>
        <v>1.5089352509973837</v>
      </c>
      <c r="H893" s="307">
        <f t="shared" ca="1" si="389"/>
        <v>-105.61055196034276</v>
      </c>
      <c r="I893" s="304">
        <f t="shared" ca="1" si="390"/>
        <v>105.62133104141398</v>
      </c>
      <c r="J893" s="306">
        <f t="shared" ca="1" si="391"/>
        <v>809.6451793302748</v>
      </c>
      <c r="K893" s="307">
        <f t="shared" ca="1" si="392"/>
        <v>-8.2801217967036713</v>
      </c>
      <c r="L893" s="304">
        <f t="shared" ca="1" si="377"/>
        <v>809.6875180152656</v>
      </c>
      <c r="M893" s="306">
        <f t="shared" ca="1" si="393"/>
        <v>-1.5565095670165245</v>
      </c>
      <c r="N893" s="304">
        <f t="shared" ca="1" si="394"/>
        <v>-89.181428961782018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1.7842999999999964</v>
      </c>
      <c r="T893" s="304">
        <f t="shared" ca="1" si="378"/>
        <v>17.503982999999966</v>
      </c>
      <c r="U893" s="311">
        <f t="shared" ca="1" si="379"/>
        <v>0</v>
      </c>
      <c r="V893" s="306">
        <f t="shared" ca="1" si="380"/>
        <v>1.2260147350265767</v>
      </c>
      <c r="W893" s="304">
        <f t="shared" ca="1" si="381"/>
        <v>18.359717196757586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-0.48059065163699977</v>
      </c>
      <c r="AH893" s="304">
        <f t="shared" ca="1" si="405"/>
        <v>-10.289589483137709</v>
      </c>
    </row>
    <row r="894" spans="1:34" x14ac:dyDescent="0.2">
      <c r="A894" s="347">
        <f t="shared" ca="1" si="383"/>
        <v>1E-4</v>
      </c>
      <c r="B894" s="304">
        <f t="shared" ca="1" si="384"/>
        <v>58.023700000001327</v>
      </c>
      <c r="D894" s="306">
        <f t="shared" ca="1" si="385"/>
        <v>-0.14699991379016644</v>
      </c>
      <c r="E894" s="307">
        <f t="shared" ca="1" si="386"/>
        <v>0.47854089215607765</v>
      </c>
      <c r="F894" s="304">
        <f t="shared" ca="1" si="387"/>
        <v>0.50060998803444889</v>
      </c>
      <c r="G894" s="306">
        <f t="shared" ca="1" si="388"/>
        <v>1.5089205510060046</v>
      </c>
      <c r="H894" s="307">
        <f t="shared" ca="1" si="389"/>
        <v>-105.61050410625354</v>
      </c>
      <c r="I894" s="304">
        <f t="shared" ca="1" si="390"/>
        <v>105.62128298220129</v>
      </c>
      <c r="J894" s="306">
        <f t="shared" ca="1" si="391"/>
        <v>809.6451793302748</v>
      </c>
      <c r="K894" s="307">
        <f t="shared" ca="1" si="392"/>
        <v>-8.290682849507002</v>
      </c>
      <c r="L894" s="304">
        <f t="shared" ca="1" si="377"/>
        <v>809.68762608481552</v>
      </c>
      <c r="M894" s="306">
        <f t="shared" ca="1" si="393"/>
        <v>-1.5565096997060182</v>
      </c>
      <c r="N894" s="304">
        <f t="shared" ca="1" si="394"/>
        <v>-89.181436564329999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1.7842999999999964</v>
      </c>
      <c r="T894" s="304">
        <f t="shared" ca="1" si="378"/>
        <v>17.503982999999966</v>
      </c>
      <c r="U894" s="311">
        <f t="shared" ca="1" si="379"/>
        <v>0</v>
      </c>
      <c r="V894" s="306">
        <f t="shared" ca="1" si="380"/>
        <v>1.2260160298281184</v>
      </c>
      <c r="W894" s="304">
        <f t="shared" ca="1" si="381"/>
        <v>18.359719878685009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 t="e">
        <f t="shared" ca="1" si="382"/>
        <v>#N/A</v>
      </c>
      <c r="AG894" s="306">
        <f t="shared" ca="1" si="404"/>
        <v>-0.48059213614820173</v>
      </c>
      <c r="AH894" s="304">
        <f t="shared" ca="1" si="405"/>
        <v>-10.289590986245376</v>
      </c>
    </row>
    <row r="895" spans="1:34" x14ac:dyDescent="0.2">
      <c r="A895" s="347">
        <f t="shared" ca="1" si="383"/>
        <v>1E-4</v>
      </c>
      <c r="B895" s="304">
        <f t="shared" ca="1" si="384"/>
        <v>58.02380000000133</v>
      </c>
      <c r="D895" s="306">
        <f t="shared" ca="1" si="385"/>
        <v>-0.14699857008195119</v>
      </c>
      <c r="E895" s="307">
        <f t="shared" ca="1" si="386"/>
        <v>0.47854241457772595</v>
      </c>
      <c r="F895" s="304">
        <f t="shared" ca="1" si="387"/>
        <v>0.50061104877541251</v>
      </c>
      <c r="G895" s="306">
        <f t="shared" ca="1" si="388"/>
        <v>1.5089058511489963</v>
      </c>
      <c r="H895" s="307">
        <f t="shared" ca="1" si="389"/>
        <v>-105.61045625201209</v>
      </c>
      <c r="I895" s="304">
        <f t="shared" ca="1" si="390"/>
        <v>105.62123492284016</v>
      </c>
      <c r="J895" s="306">
        <f t="shared" ca="1" si="391"/>
        <v>809.6451793302748</v>
      </c>
      <c r="K895" s="307">
        <f t="shared" ca="1" si="392"/>
        <v>-8.3012438975249161</v>
      </c>
      <c r="L895" s="304">
        <f t="shared" ca="1" si="377"/>
        <v>809.68773429205351</v>
      </c>
      <c r="M895" s="306">
        <f t="shared" ca="1" si="393"/>
        <v>-1.55650983239434</v>
      </c>
      <c r="N895" s="304">
        <f t="shared" ca="1" si="394"/>
        <v>-89.181444166810834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1.7842999999999964</v>
      </c>
      <c r="T895" s="304">
        <f t="shared" ca="1" si="378"/>
        <v>17.503982999999966</v>
      </c>
      <c r="U895" s="311">
        <f t="shared" ca="1" si="379"/>
        <v>0</v>
      </c>
      <c r="V895" s="306">
        <f t="shared" ca="1" si="380"/>
        <v>1.2260173246304409</v>
      </c>
      <c r="W895" s="304">
        <f t="shared" ca="1" si="381"/>
        <v>18.359722560544828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-0.48059362062186395</v>
      </c>
      <c r="AH895" s="304">
        <f t="shared" ca="1" si="405"/>
        <v>-10.289592489315163</v>
      </c>
    </row>
    <row r="896" spans="1:34" x14ac:dyDescent="0.2">
      <c r="A896" s="347">
        <f t="shared" ca="1" si="383"/>
        <v>1E-4</v>
      </c>
      <c r="B896" s="304">
        <f t="shared" ca="1" si="384"/>
        <v>58.023900000001333</v>
      </c>
      <c r="D896" s="306">
        <f t="shared" ca="1" si="385"/>
        <v>-0.14699722638484861</v>
      </c>
      <c r="E896" s="307">
        <f t="shared" ca="1" si="386"/>
        <v>0.47854393696114528</v>
      </c>
      <c r="F896" s="304">
        <f t="shared" ca="1" si="387"/>
        <v>0.50061210948908441</v>
      </c>
      <c r="G896" s="306">
        <f t="shared" ca="1" si="388"/>
        <v>1.5088911514263579</v>
      </c>
      <c r="H896" s="307">
        <f t="shared" ca="1" si="389"/>
        <v>-105.61040839761839</v>
      </c>
      <c r="I896" s="304">
        <f t="shared" ca="1" si="390"/>
        <v>105.62118686333058</v>
      </c>
      <c r="J896" s="306">
        <f t="shared" ca="1" si="391"/>
        <v>809.6451793302748</v>
      </c>
      <c r="K896" s="307">
        <f t="shared" ca="1" si="392"/>
        <v>-8.3118049407573977</v>
      </c>
      <c r="L896" s="304">
        <f t="shared" ca="1" si="377"/>
        <v>809.68784263697944</v>
      </c>
      <c r="M896" s="306">
        <f t="shared" ca="1" si="393"/>
        <v>-1.55650996508149</v>
      </c>
      <c r="N896" s="304">
        <f t="shared" ca="1" si="394"/>
        <v>-89.181451769224509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1.7842999999999964</v>
      </c>
      <c r="T896" s="304">
        <f t="shared" ca="1" si="378"/>
        <v>17.503982999999966</v>
      </c>
      <c r="U896" s="311">
        <f t="shared" ca="1" si="379"/>
        <v>0</v>
      </c>
      <c r="V896" s="306">
        <f t="shared" ca="1" si="380"/>
        <v>1.2260186194335447</v>
      </c>
      <c r="W896" s="304">
        <f t="shared" ca="1" si="381"/>
        <v>18.359725242337049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-0.48059510505797398</v>
      </c>
      <c r="AH896" s="304">
        <f t="shared" ca="1" si="405"/>
        <v>-10.289593992347063</v>
      </c>
    </row>
    <row r="897" spans="1:34" x14ac:dyDescent="0.2">
      <c r="A897" s="347">
        <f t="shared" ca="1" si="383"/>
        <v>1E-4</v>
      </c>
      <c r="B897" s="304">
        <f t="shared" ca="1" si="384"/>
        <v>58.024000000001337</v>
      </c>
      <c r="D897" s="306">
        <f t="shared" ca="1" si="385"/>
        <v>-0.1469958826988611</v>
      </c>
      <c r="E897" s="307">
        <f t="shared" ca="1" si="386"/>
        <v>0.47854545930633385</v>
      </c>
      <c r="F897" s="304">
        <f t="shared" ca="1" si="387"/>
        <v>0.50061317017546325</v>
      </c>
      <c r="G897" s="306">
        <f t="shared" ca="1" si="388"/>
        <v>1.5088764518380879</v>
      </c>
      <c r="H897" s="307">
        <f t="shared" ca="1" si="389"/>
        <v>-105.61036054307246</v>
      </c>
      <c r="I897" s="304">
        <f t="shared" ca="1" si="390"/>
        <v>105.62113880367258</v>
      </c>
      <c r="J897" s="306">
        <f t="shared" ca="1" si="391"/>
        <v>809.6451793302748</v>
      </c>
      <c r="K897" s="307">
        <f t="shared" ca="1" si="392"/>
        <v>-8.3223659792044327</v>
      </c>
      <c r="L897" s="304">
        <f t="shared" ca="1" si="377"/>
        <v>809.68795111959321</v>
      </c>
      <c r="M897" s="306">
        <f t="shared" ca="1" si="393"/>
        <v>-1.556510097767468</v>
      </c>
      <c r="N897" s="304">
        <f t="shared" ca="1" si="394"/>
        <v>-89.181459371571052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1.7842999999999964</v>
      </c>
      <c r="T897" s="304">
        <f t="shared" ca="1" si="378"/>
        <v>17.503982999999966</v>
      </c>
      <c r="U897" s="311">
        <f t="shared" ca="1" si="379"/>
        <v>0</v>
      </c>
      <c r="V897" s="306">
        <f t="shared" ca="1" si="380"/>
        <v>1.2260199142374302</v>
      </c>
      <c r="W897" s="304">
        <f t="shared" ca="1" si="381"/>
        <v>18.359727924061691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-0.48059658945653716</v>
      </c>
      <c r="AH897" s="304">
        <f t="shared" ca="1" si="405"/>
        <v>-10.289595495341079</v>
      </c>
    </row>
    <row r="898" spans="1:34" x14ac:dyDescent="0.2">
      <c r="A898" s="347">
        <f t="shared" ca="1" si="383"/>
        <v>1E-4</v>
      </c>
      <c r="B898" s="304">
        <f t="shared" ca="1" si="384"/>
        <v>58.02410000000134</v>
      </c>
      <c r="D898" s="306">
        <f t="shared" ca="1" si="385"/>
        <v>-0.14699453902398879</v>
      </c>
      <c r="E898" s="307">
        <f t="shared" ca="1" si="386"/>
        <v>0.47854698161330589</v>
      </c>
      <c r="F898" s="304">
        <f t="shared" ca="1" si="387"/>
        <v>0.50061423083456247</v>
      </c>
      <c r="G898" s="306">
        <f t="shared" ca="1" si="388"/>
        <v>1.5088617523841856</v>
      </c>
      <c r="H898" s="307">
        <f t="shared" ca="1" si="389"/>
        <v>-105.61031268837429</v>
      </c>
      <c r="I898" s="304">
        <f t="shared" ca="1" si="390"/>
        <v>105.62109074386612</v>
      </c>
      <c r="J898" s="306">
        <f t="shared" ca="1" si="391"/>
        <v>809.6451793302748</v>
      </c>
      <c r="K898" s="307">
        <f t="shared" ca="1" si="392"/>
        <v>-8.3329270128660049</v>
      </c>
      <c r="L898" s="304">
        <f t="shared" ca="1" si="377"/>
        <v>809.68805973989424</v>
      </c>
      <c r="M898" s="306">
        <f t="shared" ca="1" si="393"/>
        <v>-1.5565102304522742</v>
      </c>
      <c r="N898" s="304">
        <f t="shared" ca="1" si="394"/>
        <v>-89.181466973850462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1.7842999999999964</v>
      </c>
      <c r="T898" s="304">
        <f t="shared" ca="1" si="378"/>
        <v>17.503982999999966</v>
      </c>
      <c r="U898" s="311">
        <f t="shared" ca="1" si="379"/>
        <v>0</v>
      </c>
      <c r="V898" s="306">
        <f t="shared" ca="1" si="380"/>
        <v>1.226021209042097</v>
      </c>
      <c r="W898" s="304">
        <f t="shared" ca="1" si="381"/>
        <v>18.359730605718731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-0.48059807381756237</v>
      </c>
      <c r="AH898" s="304">
        <f t="shared" ca="1" si="405"/>
        <v>-10.289596998297219</v>
      </c>
    </row>
    <row r="899" spans="1:34" x14ac:dyDescent="0.2">
      <c r="A899" s="347">
        <f t="shared" ca="1" si="383"/>
        <v>1E-4</v>
      </c>
      <c r="B899" s="304">
        <f t="shared" ca="1" si="384"/>
        <v>58.024200000001343</v>
      </c>
      <c r="D899" s="306">
        <f t="shared" ca="1" si="385"/>
        <v>-0.14699319536022926</v>
      </c>
      <c r="E899" s="307">
        <f t="shared" ca="1" si="386"/>
        <v>0.4785485038820454</v>
      </c>
      <c r="F899" s="304">
        <f t="shared" ca="1" si="387"/>
        <v>0.50061529146636596</v>
      </c>
      <c r="G899" s="306">
        <f t="shared" ca="1" si="388"/>
        <v>1.5088470530646496</v>
      </c>
      <c r="H899" s="307">
        <f t="shared" ca="1" si="389"/>
        <v>-105.6102648335239</v>
      </c>
      <c r="I899" s="304">
        <f t="shared" ca="1" si="390"/>
        <v>105.62104268391123</v>
      </c>
      <c r="J899" s="306">
        <f t="shared" ca="1" si="391"/>
        <v>809.6451793302748</v>
      </c>
      <c r="K899" s="307">
        <f t="shared" ca="1" si="392"/>
        <v>-8.3434880417421002</v>
      </c>
      <c r="L899" s="304">
        <f t="shared" ca="1" si="377"/>
        <v>809.68816849788254</v>
      </c>
      <c r="M899" s="306">
        <f t="shared" ca="1" si="393"/>
        <v>-1.5565103631359085</v>
      </c>
      <c r="N899" s="304">
        <f t="shared" ca="1" si="394"/>
        <v>-89.181474576062712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1.7842999999999964</v>
      </c>
      <c r="T899" s="304">
        <f t="shared" ca="1" si="378"/>
        <v>17.503982999999966</v>
      </c>
      <c r="U899" s="311">
        <f t="shared" ca="1" si="379"/>
        <v>0</v>
      </c>
      <c r="V899" s="306">
        <f t="shared" ca="1" si="380"/>
        <v>1.2260225038475445</v>
      </c>
      <c r="W899" s="304">
        <f t="shared" ca="1" si="381"/>
        <v>18.359733287308174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-0.48059955814103539</v>
      </c>
      <c r="AH899" s="304">
        <f t="shared" ca="1" si="405"/>
        <v>-10.289598501215472</v>
      </c>
    </row>
    <row r="900" spans="1:34" x14ac:dyDescent="0.2">
      <c r="A900" s="347">
        <f t="shared" ca="1" si="383"/>
        <v>1E-4</v>
      </c>
      <c r="B900" s="304">
        <f t="shared" ca="1" si="384"/>
        <v>58.024300000001347</v>
      </c>
      <c r="D900" s="306">
        <f t="shared" ca="1" si="385"/>
        <v>-0.14699185170758483</v>
      </c>
      <c r="E900" s="307">
        <f t="shared" ca="1" si="386"/>
        <v>0.4785500261125577</v>
      </c>
      <c r="F900" s="304">
        <f t="shared" ca="1" si="387"/>
        <v>0.50061635207087907</v>
      </c>
      <c r="G900" s="306">
        <f t="shared" ca="1" si="388"/>
        <v>1.5088323538794788</v>
      </c>
      <c r="H900" s="307">
        <f t="shared" ca="1" si="389"/>
        <v>-105.61021697852129</v>
      </c>
      <c r="I900" s="304">
        <f t="shared" ca="1" si="390"/>
        <v>105.62099462380792</v>
      </c>
      <c r="J900" s="306">
        <f t="shared" ca="1" si="391"/>
        <v>809.6451793302748</v>
      </c>
      <c r="K900" s="307">
        <f t="shared" ca="1" si="392"/>
        <v>-8.3540490658327027</v>
      </c>
      <c r="L900" s="304">
        <f t="shared" ref="L900:L963" ca="1" si="406">SQRT(pos_x^2+pos_z^2)</f>
        <v>809.68827739355788</v>
      </c>
      <c r="M900" s="306">
        <f t="shared" ca="1" si="393"/>
        <v>-1.5565104958183709</v>
      </c>
      <c r="N900" s="304">
        <f t="shared" ca="1" si="394"/>
        <v>-89.181482178207816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1.7842999999999964</v>
      </c>
      <c r="T900" s="304">
        <f t="shared" ref="T900:T963" ca="1" si="407">m*g</f>
        <v>17.503982999999966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1.2260237986537741</v>
      </c>
      <c r="W900" s="304">
        <f t="shared" ref="W900:W963" ca="1" si="410">1/2*Rho*Sref*Cx*vit_xz^2</f>
        <v>18.359735968830037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-0.48060104242696511</v>
      </c>
      <c r="AH900" s="304">
        <f t="shared" ca="1" si="405"/>
        <v>-10.289600004095842</v>
      </c>
    </row>
    <row r="901" spans="1:34" x14ac:dyDescent="0.2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58.02440000000135</v>
      </c>
      <c r="D901" s="306">
        <f t="shared" ref="D901:D964" ca="1" si="414">IF(AND(L900&lt;L_rampe,Poussee&lt;Poids*SIN(M900)),0,(-W900+Poussee)/m*COS(M900)-U900/m*SIN(M900))</f>
        <v>-0.14699050806605565</v>
      </c>
      <c r="E901" s="307">
        <f t="shared" ref="E901:E964" ca="1" si="415">IF(AND(L900&lt;L_rampe,Poussee&lt;Poids*SIN(M900)),0,(-W900+Poussee)/m*SIN(M900)+U900/m*COS(M900)-Poids/m)</f>
        <v>0.47855154830485169</v>
      </c>
      <c r="F901" s="304">
        <f t="shared" ref="F901:F964" ca="1" si="416">SQRT(acc_x^2+acc_z^2)</f>
        <v>0.50061741264810988</v>
      </c>
      <c r="G901" s="306">
        <f t="shared" ref="G901:G964" ca="1" si="417">G900+acc_x*pas</f>
        <v>1.5088176548286723</v>
      </c>
      <c r="H901" s="307">
        <f t="shared" ref="H901:H964" ca="1" si="418">H900+acc_z*pas</f>
        <v>-105.61016912336646</v>
      </c>
      <c r="I901" s="304">
        <f t="shared" ref="I901:I964" ca="1" si="419">SQRT(vit_x^2+vit_z^2)</f>
        <v>105.62094656355617</v>
      </c>
      <c r="J901" s="306">
        <f t="shared" ref="J901:J964" ca="1" si="420">J900+0.5*(vit_x+G900)*pas*(K900&gt;=0)</f>
        <v>809.6451793302748</v>
      </c>
      <c r="K901" s="307">
        <f t="shared" ref="K901:K964" ca="1" si="421">K900+0.5*(vit_z+H900)*pas</f>
        <v>-8.3646100851377962</v>
      </c>
      <c r="L901" s="304">
        <f t="shared" ca="1" si="406"/>
        <v>809.68838642691992</v>
      </c>
      <c r="M901" s="306">
        <f t="shared" ref="M901:M964" ca="1" si="422">IF(AND(L900&gt;L_rampe,G901&gt;0),ATAN2(G901,H901),$M$4)</f>
        <v>-1.5565106284996615</v>
      </c>
      <c r="N901" s="304">
        <f t="shared" ref="N901:N964" ca="1" si="423">DEGREES(Beta)</f>
        <v>-89.181489780285801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1.7842999999999964</v>
      </c>
      <c r="T901" s="304">
        <f t="shared" ca="1" si="407"/>
        <v>17.503982999999966</v>
      </c>
      <c r="U901" s="311">
        <f t="shared" ca="1" si="408"/>
        <v>0</v>
      </c>
      <c r="V901" s="306">
        <f t="shared" ca="1" si="409"/>
        <v>1.2260250934607844</v>
      </c>
      <c r="W901" s="304">
        <f t="shared" ca="1" si="410"/>
        <v>18.359738650284307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-0.48060252667535153</v>
      </c>
      <c r="AH901" s="304">
        <f t="shared" ref="AH901:AH964" ca="1" si="434">IF(AND(L900&lt;L_rampe,Poussee&lt;Poids*SIN(M900)), g*SIN(M900), (-W900+Poussee)/m)</f>
        <v>-10.289601506938336</v>
      </c>
    </row>
    <row r="902" spans="1:34" x14ac:dyDescent="0.2">
      <c r="A902" s="347">
        <f t="shared" ca="1" si="412"/>
        <v>1E-4</v>
      </c>
      <c r="B902" s="304">
        <f t="shared" ca="1" si="413"/>
        <v>58.024500000001353</v>
      </c>
      <c r="D902" s="306">
        <f t="shared" ca="1" si="414"/>
        <v>-0.14698916443563939</v>
      </c>
      <c r="E902" s="307">
        <f t="shared" ca="1" si="415"/>
        <v>0.47855307045891848</v>
      </c>
      <c r="F902" s="304">
        <f t="shared" ca="1" si="416"/>
        <v>0.50061847319804931</v>
      </c>
      <c r="G902" s="306">
        <f t="shared" ca="1" si="417"/>
        <v>1.5088029559122287</v>
      </c>
      <c r="H902" s="307">
        <f t="shared" ca="1" si="418"/>
        <v>-105.61012126805942</v>
      </c>
      <c r="I902" s="304">
        <f t="shared" ca="1" si="419"/>
        <v>105.62089850315601</v>
      </c>
      <c r="J902" s="306">
        <f t="shared" ca="1" si="420"/>
        <v>809.6451793302748</v>
      </c>
      <c r="K902" s="307">
        <f t="shared" ca="1" si="421"/>
        <v>-8.3751710996573667</v>
      </c>
      <c r="L902" s="304">
        <f t="shared" ca="1" si="406"/>
        <v>809.68849559796843</v>
      </c>
      <c r="M902" s="306">
        <f t="shared" ca="1" si="422"/>
        <v>-1.5565107611797804</v>
      </c>
      <c r="N902" s="304">
        <f t="shared" ca="1" si="423"/>
        <v>-89.181497382296627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1.7842999999999964</v>
      </c>
      <c r="T902" s="304">
        <f t="shared" ca="1" si="407"/>
        <v>17.503982999999966</v>
      </c>
      <c r="U902" s="311">
        <f t="shared" ca="1" si="408"/>
        <v>0</v>
      </c>
      <c r="V902" s="306">
        <f t="shared" ca="1" si="409"/>
        <v>1.2260263882685765</v>
      </c>
      <c r="W902" s="304">
        <f t="shared" ca="1" si="410"/>
        <v>18.359741331670989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-0.48060401088619642</v>
      </c>
      <c r="AH902" s="304">
        <f t="shared" ca="1" si="434"/>
        <v>-10.289603009742949</v>
      </c>
    </row>
    <row r="903" spans="1:34" x14ac:dyDescent="0.2">
      <c r="A903" s="347">
        <f t="shared" ca="1" si="412"/>
        <v>1E-4</v>
      </c>
      <c r="B903" s="304">
        <f t="shared" ca="1" si="413"/>
        <v>58.024600000001357</v>
      </c>
      <c r="D903" s="306">
        <f t="shared" ca="1" si="414"/>
        <v>-0.14698782081633607</v>
      </c>
      <c r="E903" s="307">
        <f t="shared" ca="1" si="415"/>
        <v>0.4785545925747634</v>
      </c>
      <c r="F903" s="304">
        <f t="shared" ca="1" si="416"/>
        <v>0.500619533720702</v>
      </c>
      <c r="G903" s="306">
        <f t="shared" ca="1" si="417"/>
        <v>1.508788257130147</v>
      </c>
      <c r="H903" s="307">
        <f t="shared" ca="1" si="418"/>
        <v>-105.61007341260016</v>
      </c>
      <c r="I903" s="304">
        <f t="shared" ca="1" si="419"/>
        <v>105.62085044260743</v>
      </c>
      <c r="J903" s="306">
        <f t="shared" ca="1" si="420"/>
        <v>809.6451793302748</v>
      </c>
      <c r="K903" s="307">
        <f t="shared" ca="1" si="421"/>
        <v>-8.3857321093913999</v>
      </c>
      <c r="L903" s="304">
        <f t="shared" ca="1" si="406"/>
        <v>809.68860490670329</v>
      </c>
      <c r="M903" s="306">
        <f t="shared" ca="1" si="422"/>
        <v>-1.5565108938587273</v>
      </c>
      <c r="N903" s="304">
        <f t="shared" ca="1" si="423"/>
        <v>-89.18150498424032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1.7842999999999964</v>
      </c>
      <c r="T903" s="304">
        <f t="shared" ca="1" si="407"/>
        <v>17.503982999999966</v>
      </c>
      <c r="U903" s="311">
        <f t="shared" ca="1" si="408"/>
        <v>0</v>
      </c>
      <c r="V903" s="306">
        <f t="shared" ca="1" si="409"/>
        <v>1.2260276830771497</v>
      </c>
      <c r="W903" s="304">
        <f t="shared" ca="1" si="410"/>
        <v>18.359744012990088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-0.48060549505949801</v>
      </c>
      <c r="AH903" s="304">
        <f t="shared" ca="1" si="434"/>
        <v>-10.289604512509682</v>
      </c>
    </row>
    <row r="904" spans="1:34" x14ac:dyDescent="0.2">
      <c r="A904" s="347">
        <f t="shared" ca="1" si="412"/>
        <v>1E-4</v>
      </c>
      <c r="B904" s="304">
        <f t="shared" ca="1" si="413"/>
        <v>58.02470000000136</v>
      </c>
      <c r="D904" s="306">
        <f t="shared" ca="1" si="414"/>
        <v>-0.14698647720814806</v>
      </c>
      <c r="E904" s="307">
        <f t="shared" ca="1" si="415"/>
        <v>0.47855611465238823</v>
      </c>
      <c r="F904" s="304">
        <f t="shared" ca="1" si="416"/>
        <v>0.50062059421607019</v>
      </c>
      <c r="G904" s="306">
        <f t="shared" ca="1" si="417"/>
        <v>1.5087735584824262</v>
      </c>
      <c r="H904" s="307">
        <f t="shared" ca="1" si="418"/>
        <v>-105.61002555698869</v>
      </c>
      <c r="I904" s="304">
        <f t="shared" ca="1" si="419"/>
        <v>105.62080238191045</v>
      </c>
      <c r="J904" s="306">
        <f t="shared" ca="1" si="420"/>
        <v>809.6451793302748</v>
      </c>
      <c r="K904" s="307">
        <f t="shared" ca="1" si="421"/>
        <v>-8.3962931143398798</v>
      </c>
      <c r="L904" s="304">
        <f t="shared" ca="1" si="406"/>
        <v>809.68871435312394</v>
      </c>
      <c r="M904" s="306">
        <f t="shared" ca="1" si="422"/>
        <v>-1.5565110265365023</v>
      </c>
      <c r="N904" s="304">
        <f t="shared" ca="1" si="423"/>
        <v>-89.181512586116867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1.7842999999999964</v>
      </c>
      <c r="T904" s="304">
        <f t="shared" ca="1" si="407"/>
        <v>17.503982999999966</v>
      </c>
      <c r="U904" s="311">
        <f t="shared" ca="1" si="408"/>
        <v>0</v>
      </c>
      <c r="V904" s="306">
        <f t="shared" ca="1" si="409"/>
        <v>1.2260289778865039</v>
      </c>
      <c r="W904" s="304">
        <f t="shared" ca="1" si="410"/>
        <v>18.359746694241597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 t="e">
        <f t="shared" ca="1" si="411"/>
        <v>#N/A</v>
      </c>
      <c r="AG904" s="306">
        <f t="shared" ca="1" si="433"/>
        <v>-0.48060697919525985</v>
      </c>
      <c r="AH904" s="304">
        <f t="shared" ca="1" si="434"/>
        <v>-10.289606015238538</v>
      </c>
    </row>
    <row r="905" spans="1:34" x14ac:dyDescent="0.2">
      <c r="A905" s="347">
        <f t="shared" ca="1" si="412"/>
        <v>1E-4</v>
      </c>
      <c r="B905" s="304">
        <f t="shared" ca="1" si="413"/>
        <v>58.024800000001363</v>
      </c>
      <c r="D905" s="306">
        <f t="shared" ca="1" si="414"/>
        <v>-0.14698513361107532</v>
      </c>
      <c r="E905" s="307">
        <f t="shared" ca="1" si="415"/>
        <v>0.47855763669178764</v>
      </c>
      <c r="F905" s="304">
        <f t="shared" ca="1" si="416"/>
        <v>0.50062165468414832</v>
      </c>
      <c r="G905" s="306">
        <f t="shared" ca="1" si="417"/>
        <v>1.5087588599690651</v>
      </c>
      <c r="H905" s="307">
        <f t="shared" ca="1" si="418"/>
        <v>-105.60997770122502</v>
      </c>
      <c r="I905" s="304">
        <f t="shared" ca="1" si="419"/>
        <v>105.62075432106505</v>
      </c>
      <c r="J905" s="306">
        <f t="shared" ca="1" si="420"/>
        <v>809.6451793302748</v>
      </c>
      <c r="K905" s="307">
        <f t="shared" ca="1" si="421"/>
        <v>-8.4068541145027904</v>
      </c>
      <c r="L905" s="304">
        <f t="shared" ca="1" si="406"/>
        <v>809.6888239372305</v>
      </c>
      <c r="M905" s="306">
        <f t="shared" ca="1" si="422"/>
        <v>-1.5565111592131056</v>
      </c>
      <c r="N905" s="304">
        <f t="shared" ca="1" si="423"/>
        <v>-89.181520187926267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1.7842999999999964</v>
      </c>
      <c r="T905" s="304">
        <f t="shared" ca="1" si="407"/>
        <v>17.503982999999966</v>
      </c>
      <c r="U905" s="311">
        <f t="shared" ca="1" si="408"/>
        <v>0</v>
      </c>
      <c r="V905" s="306">
        <f t="shared" ca="1" si="409"/>
        <v>1.2260302726966397</v>
      </c>
      <c r="W905" s="304">
        <f t="shared" ca="1" si="410"/>
        <v>18.359749375425526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-0.48060846329347839</v>
      </c>
      <c r="AH905" s="304">
        <f t="shared" ca="1" si="434"/>
        <v>-10.289607517929515</v>
      </c>
    </row>
    <row r="906" spans="1:34" x14ac:dyDescent="0.2">
      <c r="A906" s="347">
        <f t="shared" ca="1" si="412"/>
        <v>1E-4</v>
      </c>
      <c r="B906" s="304">
        <f t="shared" ca="1" si="413"/>
        <v>58.024900000001367</v>
      </c>
      <c r="D906" s="306">
        <f t="shared" ca="1" si="414"/>
        <v>-0.14698379002511566</v>
      </c>
      <c r="E906" s="307">
        <f t="shared" ca="1" si="415"/>
        <v>0.4785591586929705</v>
      </c>
      <c r="F906" s="304">
        <f t="shared" ca="1" si="416"/>
        <v>0.50062271512494416</v>
      </c>
      <c r="G906" s="306">
        <f t="shared" ca="1" si="417"/>
        <v>1.5087441615900625</v>
      </c>
      <c r="H906" s="307">
        <f t="shared" ca="1" si="418"/>
        <v>-105.60992984530915</v>
      </c>
      <c r="I906" s="304">
        <f t="shared" ca="1" si="419"/>
        <v>105.62070626007124</v>
      </c>
      <c r="J906" s="306">
        <f t="shared" ca="1" si="420"/>
        <v>809.6451793302748</v>
      </c>
      <c r="K906" s="307">
        <f t="shared" ca="1" si="421"/>
        <v>-8.4174151098801175</v>
      </c>
      <c r="L906" s="304">
        <f t="shared" ca="1" si="406"/>
        <v>809.6889336590225</v>
      </c>
      <c r="M906" s="306">
        <f t="shared" ca="1" si="422"/>
        <v>-1.5565112918885371</v>
      </c>
      <c r="N906" s="304">
        <f t="shared" ca="1" si="423"/>
        <v>-89.18152778966855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1.7842999999999964</v>
      </c>
      <c r="T906" s="304">
        <f t="shared" ca="1" si="407"/>
        <v>17.503982999999966</v>
      </c>
      <c r="U906" s="311">
        <f t="shared" ca="1" si="408"/>
        <v>0</v>
      </c>
      <c r="V906" s="306">
        <f t="shared" ca="1" si="409"/>
        <v>1.2260315675075568</v>
      </c>
      <c r="W906" s="304">
        <f t="shared" ca="1" si="410"/>
        <v>18.359752056541868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-0.48060994735416074</v>
      </c>
      <c r="AH906" s="304">
        <f t="shared" ca="1" si="434"/>
        <v>-10.289609020582617</v>
      </c>
    </row>
    <row r="907" spans="1:34" x14ac:dyDescent="0.2">
      <c r="A907" s="347">
        <f t="shared" ca="1" si="412"/>
        <v>1E-4</v>
      </c>
      <c r="B907" s="304">
        <f t="shared" ca="1" si="413"/>
        <v>58.02500000000137</v>
      </c>
      <c r="D907" s="306">
        <f t="shared" ca="1" si="414"/>
        <v>-0.14698244645026906</v>
      </c>
      <c r="E907" s="307">
        <f t="shared" ca="1" si="415"/>
        <v>0.47856068065592972</v>
      </c>
      <c r="F907" s="304">
        <f t="shared" ca="1" si="416"/>
        <v>0.50062377553845061</v>
      </c>
      <c r="G907" s="306">
        <f t="shared" ca="1" si="417"/>
        <v>1.5087294633454176</v>
      </c>
      <c r="H907" s="307">
        <f t="shared" ca="1" si="418"/>
        <v>-105.60988198924109</v>
      </c>
      <c r="I907" s="304">
        <f t="shared" ca="1" si="419"/>
        <v>105.62065819892904</v>
      </c>
      <c r="J907" s="306">
        <f t="shared" ca="1" si="420"/>
        <v>809.6451793302748</v>
      </c>
      <c r="K907" s="307">
        <f t="shared" ca="1" si="421"/>
        <v>-8.4279761004718452</v>
      </c>
      <c r="L907" s="304">
        <f t="shared" ca="1" si="406"/>
        <v>809.68904351849972</v>
      </c>
      <c r="M907" s="306">
        <f t="shared" ca="1" si="422"/>
        <v>-1.5565114245627969</v>
      </c>
      <c r="N907" s="304">
        <f t="shared" ca="1" si="423"/>
        <v>-89.181535391343687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1.7842999999999964</v>
      </c>
      <c r="T907" s="304">
        <f t="shared" ca="1" si="407"/>
        <v>17.503982999999966</v>
      </c>
      <c r="U907" s="311">
        <f t="shared" ca="1" si="408"/>
        <v>0</v>
      </c>
      <c r="V907" s="306">
        <f t="shared" ca="1" si="409"/>
        <v>1.2260328623192551</v>
      </c>
      <c r="W907" s="304">
        <f t="shared" ca="1" si="410"/>
        <v>18.359754737590631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-0.48061143137730156</v>
      </c>
      <c r="AH907" s="304">
        <f t="shared" ca="1" si="434"/>
        <v>-10.28961052319784</v>
      </c>
    </row>
    <row r="908" spans="1:34" x14ac:dyDescent="0.2">
      <c r="A908" s="347">
        <f t="shared" ca="1" si="412"/>
        <v>1E-4</v>
      </c>
      <c r="B908" s="304">
        <f t="shared" ca="1" si="413"/>
        <v>58.025100000001373</v>
      </c>
      <c r="D908" s="306">
        <f t="shared" ca="1" si="414"/>
        <v>-0.14698110288653557</v>
      </c>
      <c r="E908" s="307">
        <f t="shared" ca="1" si="415"/>
        <v>0.47856220258067061</v>
      </c>
      <c r="F908" s="304">
        <f t="shared" ca="1" si="416"/>
        <v>0.50062483592467244</v>
      </c>
      <c r="G908" s="306">
        <f t="shared" ca="1" si="417"/>
        <v>1.5087147652351289</v>
      </c>
      <c r="H908" s="307">
        <f t="shared" ca="1" si="418"/>
        <v>-105.60983413302083</v>
      </c>
      <c r="I908" s="304">
        <f t="shared" ca="1" si="419"/>
        <v>105.62061013763842</v>
      </c>
      <c r="J908" s="306">
        <f t="shared" ca="1" si="420"/>
        <v>809.6451793302748</v>
      </c>
      <c r="K908" s="307">
        <f t="shared" ca="1" si="421"/>
        <v>-8.4385370862779592</v>
      </c>
      <c r="L908" s="304">
        <f t="shared" ca="1" si="406"/>
        <v>809.68915351566204</v>
      </c>
      <c r="M908" s="306">
        <f t="shared" ca="1" si="422"/>
        <v>-1.556511557235885</v>
      </c>
      <c r="N908" s="304">
        <f t="shared" ca="1" si="423"/>
        <v>-89.181542992951677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1.7842999999999964</v>
      </c>
      <c r="T908" s="304">
        <f t="shared" ca="1" si="407"/>
        <v>17.503982999999966</v>
      </c>
      <c r="U908" s="311">
        <f t="shared" ca="1" si="408"/>
        <v>0</v>
      </c>
      <c r="V908" s="306">
        <f t="shared" ca="1" si="409"/>
        <v>1.2260341571317344</v>
      </c>
      <c r="W908" s="304">
        <f t="shared" ca="1" si="410"/>
        <v>18.359757418571807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-0.48061291536290263</v>
      </c>
      <c r="AH908" s="304">
        <f t="shared" ca="1" si="434"/>
        <v>-10.289612025775188</v>
      </c>
    </row>
    <row r="909" spans="1:34" x14ac:dyDescent="0.2">
      <c r="A909" s="347">
        <f t="shared" ca="1" si="412"/>
        <v>1E-4</v>
      </c>
      <c r="B909" s="304">
        <f t="shared" ca="1" si="413"/>
        <v>58.025200000001377</v>
      </c>
      <c r="D909" s="306">
        <f t="shared" ca="1" si="414"/>
        <v>-0.14697975933391519</v>
      </c>
      <c r="E909" s="307">
        <f t="shared" ca="1" si="415"/>
        <v>0.47856372446718787</v>
      </c>
      <c r="F909" s="304">
        <f t="shared" ca="1" si="416"/>
        <v>0.50062589628360432</v>
      </c>
      <c r="G909" s="306">
        <f t="shared" ca="1" si="417"/>
        <v>1.5087000672591955</v>
      </c>
      <c r="H909" s="307">
        <f t="shared" ca="1" si="418"/>
        <v>-105.60978627664838</v>
      </c>
      <c r="I909" s="304">
        <f t="shared" ca="1" si="419"/>
        <v>105.62056207619942</v>
      </c>
      <c r="J909" s="306">
        <f t="shared" ca="1" si="420"/>
        <v>809.6451793302748</v>
      </c>
      <c r="K909" s="307">
        <f t="shared" ca="1" si="421"/>
        <v>-8.4490980672984435</v>
      </c>
      <c r="L909" s="304">
        <f t="shared" ca="1" si="406"/>
        <v>809.68926365050913</v>
      </c>
      <c r="M909" s="306">
        <f t="shared" ca="1" si="422"/>
        <v>-1.5565116899078011</v>
      </c>
      <c r="N909" s="304">
        <f t="shared" ca="1" si="423"/>
        <v>-89.181550594492535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1.7842999999999964</v>
      </c>
      <c r="T909" s="304">
        <f t="shared" ca="1" si="407"/>
        <v>17.503982999999966</v>
      </c>
      <c r="U909" s="311">
        <f t="shared" ca="1" si="408"/>
        <v>0</v>
      </c>
      <c r="V909" s="306">
        <f t="shared" ca="1" si="409"/>
        <v>1.2260354519449956</v>
      </c>
      <c r="W909" s="304">
        <f t="shared" ca="1" si="410"/>
        <v>18.35976009948541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-0.48061439931096039</v>
      </c>
      <c r="AH909" s="304">
        <f t="shared" ca="1" si="434"/>
        <v>-10.289613528314657</v>
      </c>
    </row>
    <row r="910" spans="1:34" x14ac:dyDescent="0.2">
      <c r="A910" s="347">
        <f t="shared" ca="1" si="412"/>
        <v>1E-4</v>
      </c>
      <c r="B910" s="304">
        <f t="shared" ca="1" si="413"/>
        <v>58.02530000000138</v>
      </c>
      <c r="D910" s="306">
        <f t="shared" ca="1" si="414"/>
        <v>-0.14697841579241028</v>
      </c>
      <c r="E910" s="307">
        <f t="shared" ca="1" si="415"/>
        <v>0.47856524631549213</v>
      </c>
      <c r="F910" s="304">
        <f t="shared" ca="1" si="416"/>
        <v>0.50062695661525691</v>
      </c>
      <c r="G910" s="306">
        <f t="shared" ca="1" si="417"/>
        <v>1.5086853694176163</v>
      </c>
      <c r="H910" s="307">
        <f t="shared" ca="1" si="418"/>
        <v>-105.60973842012375</v>
      </c>
      <c r="I910" s="304">
        <f t="shared" ca="1" si="419"/>
        <v>105.62051401461204</v>
      </c>
      <c r="J910" s="306">
        <f t="shared" ca="1" si="420"/>
        <v>809.6451793302748</v>
      </c>
      <c r="K910" s="307">
        <f t="shared" ca="1" si="421"/>
        <v>-8.4596590435332821</v>
      </c>
      <c r="L910" s="304">
        <f t="shared" ca="1" si="406"/>
        <v>809.68937392304076</v>
      </c>
      <c r="M910" s="306">
        <f t="shared" ca="1" si="422"/>
        <v>-1.5565118225785455</v>
      </c>
      <c r="N910" s="304">
        <f t="shared" ca="1" si="423"/>
        <v>-89.181558195966247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1.7842999999999964</v>
      </c>
      <c r="T910" s="304">
        <f t="shared" ca="1" si="407"/>
        <v>17.503982999999966</v>
      </c>
      <c r="U910" s="311">
        <f t="shared" ca="1" si="408"/>
        <v>0</v>
      </c>
      <c r="V910" s="306">
        <f t="shared" ca="1" si="409"/>
        <v>1.2260367467590376</v>
      </c>
      <c r="W910" s="304">
        <f t="shared" ca="1" si="410"/>
        <v>18.359762780331437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-0.48061588322148552</v>
      </c>
      <c r="AH910" s="304">
        <f t="shared" ca="1" si="434"/>
        <v>-10.289615030816256</v>
      </c>
    </row>
    <row r="911" spans="1:34" x14ac:dyDescent="0.2">
      <c r="A911" s="347">
        <f t="shared" ca="1" si="412"/>
        <v>1E-4</v>
      </c>
      <c r="B911" s="304">
        <f t="shared" ca="1" si="413"/>
        <v>58.025400000001383</v>
      </c>
      <c r="D911" s="306">
        <f t="shared" ca="1" si="414"/>
        <v>-0.14697707226201864</v>
      </c>
      <c r="E911" s="307">
        <f t="shared" ca="1" si="415"/>
        <v>0.47856676812557986</v>
      </c>
      <c r="F911" s="304">
        <f t="shared" ca="1" si="416"/>
        <v>0.50062801691962588</v>
      </c>
      <c r="G911" s="306">
        <f t="shared" ca="1" si="417"/>
        <v>1.5086706717103902</v>
      </c>
      <c r="H911" s="307">
        <f t="shared" ca="1" si="418"/>
        <v>-105.60969056344693</v>
      </c>
      <c r="I911" s="304">
        <f t="shared" ca="1" si="419"/>
        <v>105.62046595287626</v>
      </c>
      <c r="J911" s="306">
        <f t="shared" ca="1" si="420"/>
        <v>809.6451793302748</v>
      </c>
      <c r="K911" s="307">
        <f t="shared" ca="1" si="421"/>
        <v>-8.4702200149824609</v>
      </c>
      <c r="L911" s="304">
        <f t="shared" ca="1" si="406"/>
        <v>809.68948433325659</v>
      </c>
      <c r="M911" s="306">
        <f t="shared" ca="1" si="422"/>
        <v>-1.5565119552481181</v>
      </c>
      <c r="N911" s="304">
        <f t="shared" ca="1" si="423"/>
        <v>-89.181565797372841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1.7842999999999964</v>
      </c>
      <c r="T911" s="304">
        <f t="shared" ca="1" si="407"/>
        <v>17.503982999999966</v>
      </c>
      <c r="U911" s="311">
        <f t="shared" ca="1" si="408"/>
        <v>0</v>
      </c>
      <c r="V911" s="306">
        <f t="shared" ca="1" si="409"/>
        <v>1.2260380415738614</v>
      </c>
      <c r="W911" s="304">
        <f t="shared" ca="1" si="410"/>
        <v>18.359765461109887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-0.48061736709447622</v>
      </c>
      <c r="AH911" s="304">
        <f t="shared" ca="1" si="434"/>
        <v>-10.289616533279982</v>
      </c>
    </row>
    <row r="912" spans="1:34" x14ac:dyDescent="0.2">
      <c r="A912" s="347">
        <f t="shared" ca="1" si="412"/>
        <v>1E-4</v>
      </c>
      <c r="B912" s="304">
        <f t="shared" ca="1" si="413"/>
        <v>58.025500000001387</v>
      </c>
      <c r="D912" s="306">
        <f t="shared" ca="1" si="414"/>
        <v>-0.1469757287427402</v>
      </c>
      <c r="E912" s="307">
        <f t="shared" ca="1" si="415"/>
        <v>0.47856828989745281</v>
      </c>
      <c r="F912" s="304">
        <f t="shared" ca="1" si="416"/>
        <v>0.50062907719671257</v>
      </c>
      <c r="G912" s="306">
        <f t="shared" ca="1" si="417"/>
        <v>1.5086559741375158</v>
      </c>
      <c r="H912" s="307">
        <f t="shared" ca="1" si="418"/>
        <v>-105.60964270661795</v>
      </c>
      <c r="I912" s="304">
        <f t="shared" ca="1" si="419"/>
        <v>105.6204178909921</v>
      </c>
      <c r="J912" s="306">
        <f t="shared" ca="1" si="420"/>
        <v>809.6451793302748</v>
      </c>
      <c r="K912" s="307">
        <f t="shared" ca="1" si="421"/>
        <v>-8.4807809816459638</v>
      </c>
      <c r="L912" s="304">
        <f t="shared" ca="1" si="406"/>
        <v>809.68959488115661</v>
      </c>
      <c r="M912" s="306">
        <f t="shared" ca="1" si="422"/>
        <v>-1.5565120879165193</v>
      </c>
      <c r="N912" s="304">
        <f t="shared" ca="1" si="423"/>
        <v>-89.181573398712302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1.7842999999999964</v>
      </c>
      <c r="T912" s="304">
        <f t="shared" ca="1" si="407"/>
        <v>17.503982999999966</v>
      </c>
      <c r="U912" s="311">
        <f t="shared" ca="1" si="408"/>
        <v>0</v>
      </c>
      <c r="V912" s="306">
        <f t="shared" ca="1" si="409"/>
        <v>1.2260393363894659</v>
      </c>
      <c r="W912" s="304">
        <f t="shared" ca="1" si="410"/>
        <v>18.359768141820755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-0.48061885092993073</v>
      </c>
      <c r="AH912" s="304">
        <f t="shared" ca="1" si="434"/>
        <v>-10.289618035705837</v>
      </c>
    </row>
    <row r="913" spans="1:34" x14ac:dyDescent="0.2">
      <c r="A913" s="347">
        <f t="shared" ca="1" si="412"/>
        <v>1E-4</v>
      </c>
      <c r="B913" s="304">
        <f t="shared" ca="1" si="413"/>
        <v>58.02560000000139</v>
      </c>
      <c r="D913" s="306">
        <f t="shared" ca="1" si="414"/>
        <v>-0.14697438523457271</v>
      </c>
      <c r="E913" s="307">
        <f t="shared" ca="1" si="415"/>
        <v>0.47856981163110213</v>
      </c>
      <c r="F913" s="304">
        <f t="shared" ca="1" si="416"/>
        <v>0.50063013744650764</v>
      </c>
      <c r="G913" s="306">
        <f t="shared" ca="1" si="417"/>
        <v>1.5086412766989923</v>
      </c>
      <c r="H913" s="307">
        <f t="shared" ca="1" si="418"/>
        <v>-105.60959484963678</v>
      </c>
      <c r="I913" s="304">
        <f t="shared" ca="1" si="419"/>
        <v>105.62036982895954</v>
      </c>
      <c r="J913" s="306">
        <f t="shared" ca="1" si="420"/>
        <v>809.6451793302748</v>
      </c>
      <c r="K913" s="307">
        <f t="shared" ca="1" si="421"/>
        <v>-8.4913419435237767</v>
      </c>
      <c r="L913" s="304">
        <f t="shared" ca="1" si="406"/>
        <v>809.68970556674037</v>
      </c>
      <c r="M913" s="306">
        <f t="shared" ca="1" si="422"/>
        <v>-1.5565122205837485</v>
      </c>
      <c r="N913" s="304">
        <f t="shared" ca="1" si="423"/>
        <v>-89.181580999984604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1.7842999999999964</v>
      </c>
      <c r="T913" s="304">
        <f t="shared" ca="1" si="407"/>
        <v>17.503982999999966</v>
      </c>
      <c r="U913" s="311">
        <f t="shared" ca="1" si="408"/>
        <v>0</v>
      </c>
      <c r="V913" s="306">
        <f t="shared" ca="1" si="409"/>
        <v>1.226040631205852</v>
      </c>
      <c r="W913" s="304">
        <f t="shared" ca="1" si="410"/>
        <v>18.359770822464043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-0.48062033472784549</v>
      </c>
      <c r="AH913" s="304">
        <f t="shared" ca="1" si="434"/>
        <v>-10.289619538093813</v>
      </c>
    </row>
    <row r="914" spans="1:34" x14ac:dyDescent="0.2">
      <c r="A914" s="347">
        <f t="shared" ca="1" si="412"/>
        <v>1E-4</v>
      </c>
      <c r="B914" s="304">
        <f t="shared" ca="1" si="413"/>
        <v>58.025700000001393</v>
      </c>
      <c r="D914" s="306">
        <f t="shared" ca="1" si="414"/>
        <v>-0.14697304173752071</v>
      </c>
      <c r="E914" s="307">
        <f t="shared" ca="1" si="415"/>
        <v>0.47857133332653312</v>
      </c>
      <c r="F914" s="304">
        <f t="shared" ca="1" si="416"/>
        <v>0.50063119766901731</v>
      </c>
      <c r="G914" s="306">
        <f t="shared" ca="1" si="417"/>
        <v>1.5086265793948186</v>
      </c>
      <c r="H914" s="307">
        <f t="shared" ca="1" si="418"/>
        <v>-105.60954699250344</v>
      </c>
      <c r="I914" s="304">
        <f t="shared" ca="1" si="419"/>
        <v>105.62032176677863</v>
      </c>
      <c r="J914" s="306">
        <f t="shared" ca="1" si="420"/>
        <v>809.6451793302748</v>
      </c>
      <c r="K914" s="307">
        <f t="shared" ca="1" si="421"/>
        <v>-8.5019029006158835</v>
      </c>
      <c r="L914" s="304">
        <f t="shared" ca="1" si="406"/>
        <v>809.68981639000765</v>
      </c>
      <c r="M914" s="306">
        <f t="shared" ca="1" si="422"/>
        <v>-1.556512353249806</v>
      </c>
      <c r="N914" s="304">
        <f t="shared" ca="1" si="423"/>
        <v>-89.181588601189787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1.7842999999999964</v>
      </c>
      <c r="T914" s="304">
        <f t="shared" ca="1" si="407"/>
        <v>17.503982999999966</v>
      </c>
      <c r="U914" s="311">
        <f t="shared" ca="1" si="408"/>
        <v>0</v>
      </c>
      <c r="V914" s="306">
        <f t="shared" ca="1" si="409"/>
        <v>1.2260419260230193</v>
      </c>
      <c r="W914" s="304">
        <f t="shared" ca="1" si="410"/>
        <v>18.359773503039769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 t="e">
        <f t="shared" ca="1" si="411"/>
        <v>#N/A</v>
      </c>
      <c r="AG914" s="306">
        <f t="shared" ca="1" si="433"/>
        <v>-0.4806218184882205</v>
      </c>
      <c r="AH914" s="304">
        <f t="shared" ca="1" si="434"/>
        <v>-10.289621040443915</v>
      </c>
    </row>
    <row r="915" spans="1:34" x14ac:dyDescent="0.2">
      <c r="A915" s="347">
        <f t="shared" ca="1" si="412"/>
        <v>1E-4</v>
      </c>
      <c r="B915" s="304">
        <f t="shared" ca="1" si="413"/>
        <v>58.025800000001396</v>
      </c>
      <c r="D915" s="306">
        <f t="shared" ca="1" si="414"/>
        <v>-0.14697169825158216</v>
      </c>
      <c r="E915" s="307">
        <f t="shared" ca="1" si="415"/>
        <v>0.47857285498376001</v>
      </c>
      <c r="F915" s="304">
        <f t="shared" ca="1" si="416"/>
        <v>0.50063225786425425</v>
      </c>
      <c r="G915" s="306">
        <f t="shared" ca="1" si="417"/>
        <v>1.5086118822249934</v>
      </c>
      <c r="H915" s="307">
        <f t="shared" ca="1" si="418"/>
        <v>-105.60949913521794</v>
      </c>
      <c r="I915" s="304">
        <f t="shared" ca="1" si="419"/>
        <v>105.62027370444933</v>
      </c>
      <c r="J915" s="306">
        <f t="shared" ca="1" si="420"/>
        <v>809.6451793302748</v>
      </c>
      <c r="K915" s="307">
        <f t="shared" ca="1" si="421"/>
        <v>-8.51246385292227</v>
      </c>
      <c r="L915" s="304">
        <f t="shared" ca="1" si="406"/>
        <v>809.68992735095833</v>
      </c>
      <c r="M915" s="306">
        <f t="shared" ca="1" si="422"/>
        <v>-1.5565124859146917</v>
      </c>
      <c r="N915" s="304">
        <f t="shared" ca="1" si="423"/>
        <v>-89.181596202327825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1.7842999999999964</v>
      </c>
      <c r="T915" s="304">
        <f t="shared" ca="1" si="407"/>
        <v>17.503982999999966</v>
      </c>
      <c r="U915" s="311">
        <f t="shared" ca="1" si="408"/>
        <v>0</v>
      </c>
      <c r="V915" s="306">
        <f t="shared" ca="1" si="409"/>
        <v>1.2260432208409682</v>
      </c>
      <c r="W915" s="304">
        <f t="shared" ca="1" si="410"/>
        <v>18.359776183547918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-0.48062330221106997</v>
      </c>
      <c r="AH915" s="304">
        <f t="shared" ca="1" si="434"/>
        <v>-10.289622542756154</v>
      </c>
    </row>
    <row r="916" spans="1:34" x14ac:dyDescent="0.2">
      <c r="A916" s="347">
        <f t="shared" ca="1" si="412"/>
        <v>1E-4</v>
      </c>
      <c r="B916" s="304">
        <f t="shared" ca="1" si="413"/>
        <v>58.0259000000014</v>
      </c>
      <c r="D916" s="306">
        <f t="shared" ca="1" si="414"/>
        <v>-0.14697035477675691</v>
      </c>
      <c r="E916" s="307">
        <f t="shared" ca="1" si="415"/>
        <v>0.4785743766027668</v>
      </c>
      <c r="F916" s="304">
        <f t="shared" ca="1" si="416"/>
        <v>0.50063331803220279</v>
      </c>
      <c r="G916" s="306">
        <f t="shared" ca="1" si="417"/>
        <v>1.5085971851895157</v>
      </c>
      <c r="H916" s="307">
        <f t="shared" ca="1" si="418"/>
        <v>-105.60945127778028</v>
      </c>
      <c r="I916" s="304">
        <f t="shared" ca="1" si="419"/>
        <v>105.62022564197167</v>
      </c>
      <c r="J916" s="306">
        <f t="shared" ca="1" si="420"/>
        <v>809.6451793302748</v>
      </c>
      <c r="K916" s="307">
        <f t="shared" ca="1" si="421"/>
        <v>-8.5230248004429203</v>
      </c>
      <c r="L916" s="304">
        <f t="shared" ca="1" si="406"/>
        <v>809.69003844959207</v>
      </c>
      <c r="M916" s="306">
        <f t="shared" ca="1" si="422"/>
        <v>-1.5565126185784059</v>
      </c>
      <c r="N916" s="304">
        <f t="shared" ca="1" si="423"/>
        <v>-89.181603803398758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1.7842999999999964</v>
      </c>
      <c r="T916" s="304">
        <f t="shared" ca="1" si="407"/>
        <v>17.503982999999966</v>
      </c>
      <c r="U916" s="311">
        <f t="shared" ca="1" si="408"/>
        <v>0</v>
      </c>
      <c r="V916" s="306">
        <f t="shared" ca="1" si="409"/>
        <v>1.2260445156596982</v>
      </c>
      <c r="W916" s="304">
        <f t="shared" ca="1" si="410"/>
        <v>18.359778863988499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-0.48062478589638502</v>
      </c>
      <c r="AH916" s="304">
        <f t="shared" ca="1" si="434"/>
        <v>-10.28962404503052</v>
      </c>
    </row>
    <row r="917" spans="1:34" x14ac:dyDescent="0.2">
      <c r="A917" s="347">
        <f t="shared" ca="1" si="412"/>
        <v>1E-4</v>
      </c>
      <c r="B917" s="304">
        <f t="shared" ca="1" si="413"/>
        <v>58.026000000001403</v>
      </c>
      <c r="D917" s="306">
        <f t="shared" ca="1" si="414"/>
        <v>-0.14696901131304277</v>
      </c>
      <c r="E917" s="307">
        <f t="shared" ca="1" si="415"/>
        <v>0.47857589818356061</v>
      </c>
      <c r="F917" s="304">
        <f t="shared" ca="1" si="416"/>
        <v>0.50063437817286882</v>
      </c>
      <c r="G917" s="306">
        <f t="shared" ca="1" si="417"/>
        <v>1.5085824882883845</v>
      </c>
      <c r="H917" s="307">
        <f t="shared" ca="1" si="418"/>
        <v>-105.60940342019046</v>
      </c>
      <c r="I917" s="304">
        <f t="shared" ca="1" si="419"/>
        <v>105.62017757934564</v>
      </c>
      <c r="J917" s="306">
        <f t="shared" ca="1" si="420"/>
        <v>809.6451793302748</v>
      </c>
      <c r="K917" s="307">
        <f t="shared" ca="1" si="421"/>
        <v>-8.5335857431778184</v>
      </c>
      <c r="L917" s="304">
        <f t="shared" ca="1" si="406"/>
        <v>809.69014968590864</v>
      </c>
      <c r="M917" s="306">
        <f t="shared" ca="1" si="422"/>
        <v>-1.5565127512409482</v>
      </c>
      <c r="N917" s="304">
        <f t="shared" ca="1" si="423"/>
        <v>-89.181611404402517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1.7842999999999964</v>
      </c>
      <c r="T917" s="304">
        <f t="shared" ca="1" si="407"/>
        <v>17.503982999999966</v>
      </c>
      <c r="U917" s="311">
        <f t="shared" ca="1" si="408"/>
        <v>0</v>
      </c>
      <c r="V917" s="306">
        <f t="shared" ca="1" si="409"/>
        <v>1.2260458104792091</v>
      </c>
      <c r="W917" s="304">
        <f t="shared" ca="1" si="410"/>
        <v>18.359781544361503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-0.48062626954416565</v>
      </c>
      <c r="AH917" s="304">
        <f t="shared" ca="1" si="434"/>
        <v>-10.289625547267015</v>
      </c>
    </row>
    <row r="918" spans="1:34" x14ac:dyDescent="0.2">
      <c r="A918" s="347">
        <f t="shared" ca="1" si="412"/>
        <v>1E-4</v>
      </c>
      <c r="B918" s="304">
        <f t="shared" ca="1" si="413"/>
        <v>58.026100000001406</v>
      </c>
      <c r="D918" s="306">
        <f t="shared" ca="1" si="414"/>
        <v>-0.14696766786044427</v>
      </c>
      <c r="E918" s="307">
        <f t="shared" ca="1" si="415"/>
        <v>0.47857741972614143</v>
      </c>
      <c r="F918" s="304">
        <f t="shared" ca="1" si="416"/>
        <v>0.50063543828625356</v>
      </c>
      <c r="G918" s="306">
        <f t="shared" ca="1" si="417"/>
        <v>1.5085677915215985</v>
      </c>
      <c r="H918" s="307">
        <f t="shared" ca="1" si="418"/>
        <v>-105.60935556244848</v>
      </c>
      <c r="I918" s="304">
        <f t="shared" ca="1" si="419"/>
        <v>105.62012951657124</v>
      </c>
      <c r="J918" s="306">
        <f t="shared" ca="1" si="420"/>
        <v>809.6451793302748</v>
      </c>
      <c r="K918" s="307">
        <f t="shared" ca="1" si="421"/>
        <v>-8.54414668112695</v>
      </c>
      <c r="L918" s="304">
        <f t="shared" ca="1" si="406"/>
        <v>809.6902610599077</v>
      </c>
      <c r="M918" s="306">
        <f t="shared" ca="1" si="422"/>
        <v>-1.556512883902319</v>
      </c>
      <c r="N918" s="304">
        <f t="shared" ca="1" si="423"/>
        <v>-89.181619005339172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1.7842999999999964</v>
      </c>
      <c r="T918" s="304">
        <f t="shared" ca="1" si="407"/>
        <v>17.503982999999966</v>
      </c>
      <c r="U918" s="311">
        <f t="shared" ca="1" si="408"/>
        <v>0</v>
      </c>
      <c r="V918" s="306">
        <f t="shared" ca="1" si="409"/>
        <v>1.2260471052995017</v>
      </c>
      <c r="W918" s="304">
        <f t="shared" ca="1" si="410"/>
        <v>18.359784224666939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-0.48062775315441009</v>
      </c>
      <c r="AH918" s="304">
        <f t="shared" ca="1" si="434"/>
        <v>-10.28962704946564</v>
      </c>
    </row>
    <row r="919" spans="1:34" x14ac:dyDescent="0.2">
      <c r="A919" s="347">
        <f t="shared" ca="1" si="412"/>
        <v>1E-4</v>
      </c>
      <c r="B919" s="304">
        <f t="shared" ca="1" si="413"/>
        <v>58.02620000000141</v>
      </c>
      <c r="D919" s="306">
        <f t="shared" ca="1" si="414"/>
        <v>-0.14696632441895693</v>
      </c>
      <c r="E919" s="307">
        <f t="shared" ca="1" si="415"/>
        <v>0.47857894123050748</v>
      </c>
      <c r="F919" s="304">
        <f t="shared" ca="1" si="416"/>
        <v>0.50063649837235369</v>
      </c>
      <c r="G919" s="306">
        <f t="shared" ca="1" si="417"/>
        <v>1.5085530948891566</v>
      </c>
      <c r="H919" s="307">
        <f t="shared" ca="1" si="418"/>
        <v>-105.60930770455437</v>
      </c>
      <c r="I919" s="304">
        <f t="shared" ca="1" si="419"/>
        <v>105.62008145364851</v>
      </c>
      <c r="J919" s="306">
        <f t="shared" ca="1" si="420"/>
        <v>809.6451793302748</v>
      </c>
      <c r="K919" s="307">
        <f t="shared" ca="1" si="421"/>
        <v>-8.5547076142903009</v>
      </c>
      <c r="L919" s="304">
        <f t="shared" ca="1" si="406"/>
        <v>809.69037257158914</v>
      </c>
      <c r="M919" s="306">
        <f t="shared" ca="1" si="422"/>
        <v>-1.5565130165625181</v>
      </c>
      <c r="N919" s="304">
        <f t="shared" ca="1" si="423"/>
        <v>-89.181626606208695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1.7842999999999964</v>
      </c>
      <c r="T919" s="304">
        <f t="shared" ca="1" si="407"/>
        <v>17.503982999999966</v>
      </c>
      <c r="U919" s="311">
        <f t="shared" ca="1" si="408"/>
        <v>0</v>
      </c>
      <c r="V919" s="306">
        <f t="shared" ca="1" si="409"/>
        <v>1.2260484001205754</v>
      </c>
      <c r="W919" s="304">
        <f t="shared" ca="1" si="410"/>
        <v>18.359786904904812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-0.48062923672712365</v>
      </c>
      <c r="AH919" s="304">
        <f t="shared" ca="1" si="434"/>
        <v>-10.289628551626395</v>
      </c>
    </row>
    <row r="920" spans="1:34" x14ac:dyDescent="0.2">
      <c r="A920" s="347">
        <f t="shared" ca="1" si="412"/>
        <v>1E-4</v>
      </c>
      <c r="B920" s="304">
        <f t="shared" ca="1" si="413"/>
        <v>58.026300000001413</v>
      </c>
      <c r="D920" s="306">
        <f t="shared" ca="1" si="414"/>
        <v>-0.1469649809885831</v>
      </c>
      <c r="E920" s="307">
        <f t="shared" ca="1" si="415"/>
        <v>0.47858046269666588</v>
      </c>
      <c r="F920" s="304">
        <f t="shared" ca="1" si="416"/>
        <v>0.5006375584311763</v>
      </c>
      <c r="G920" s="306">
        <f t="shared" ca="1" si="417"/>
        <v>1.5085383983910576</v>
      </c>
      <c r="H920" s="307">
        <f t="shared" ca="1" si="418"/>
        <v>-105.6092598465081</v>
      </c>
      <c r="I920" s="304">
        <f t="shared" ca="1" si="419"/>
        <v>105.6200333905774</v>
      </c>
      <c r="J920" s="306">
        <f t="shared" ca="1" si="420"/>
        <v>809.6451793302748</v>
      </c>
      <c r="K920" s="307">
        <f t="shared" ca="1" si="421"/>
        <v>-8.5652685426678534</v>
      </c>
      <c r="L920" s="304">
        <f t="shared" ca="1" si="406"/>
        <v>809.69048422095273</v>
      </c>
      <c r="M920" s="306">
        <f t="shared" ca="1" si="422"/>
        <v>-1.5565131492215456</v>
      </c>
      <c r="N920" s="304">
        <f t="shared" ca="1" si="423"/>
        <v>-89.181634207011086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1.7842999999999964</v>
      </c>
      <c r="T920" s="304">
        <f t="shared" ca="1" si="407"/>
        <v>17.503982999999966</v>
      </c>
      <c r="U920" s="311">
        <f t="shared" ca="1" si="408"/>
        <v>0</v>
      </c>
      <c r="V920" s="306">
        <f t="shared" ca="1" si="409"/>
        <v>1.2260496949424304</v>
      </c>
      <c r="W920" s="304">
        <f t="shared" ca="1" si="410"/>
        <v>18.359789585075116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-0.48063072026230813</v>
      </c>
      <c r="AH920" s="304">
        <f t="shared" ca="1" si="434"/>
        <v>-10.289630053749285</v>
      </c>
    </row>
    <row r="921" spans="1:34" x14ac:dyDescent="0.2">
      <c r="A921" s="347">
        <f t="shared" ca="1" si="412"/>
        <v>1E-4</v>
      </c>
      <c r="B921" s="304">
        <f t="shared" ca="1" si="413"/>
        <v>58.026400000001416</v>
      </c>
      <c r="D921" s="306">
        <f t="shared" ca="1" si="414"/>
        <v>-0.14696363756932046</v>
      </c>
      <c r="E921" s="307">
        <f t="shared" ca="1" si="415"/>
        <v>0.47858198412461128</v>
      </c>
      <c r="F921" s="304">
        <f t="shared" ca="1" si="416"/>
        <v>0.5006386184627154</v>
      </c>
      <c r="G921" s="306">
        <f t="shared" ca="1" si="417"/>
        <v>1.5085237020273008</v>
      </c>
      <c r="H921" s="307">
        <f t="shared" ca="1" si="418"/>
        <v>-105.60921198830968</v>
      </c>
      <c r="I921" s="304">
        <f t="shared" ca="1" si="419"/>
        <v>105.61998532735797</v>
      </c>
      <c r="J921" s="306">
        <f t="shared" ca="1" si="420"/>
        <v>809.6451793302748</v>
      </c>
      <c r="K921" s="307">
        <f t="shared" ca="1" si="421"/>
        <v>-8.5758294662595951</v>
      </c>
      <c r="L921" s="304">
        <f t="shared" ca="1" si="406"/>
        <v>809.69059600799812</v>
      </c>
      <c r="M921" s="306">
        <f t="shared" ca="1" si="422"/>
        <v>-1.5565132818794014</v>
      </c>
      <c r="N921" s="304">
        <f t="shared" ca="1" si="423"/>
        <v>-89.181641807746331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1.7842999999999964</v>
      </c>
      <c r="T921" s="304">
        <f t="shared" ca="1" si="407"/>
        <v>17.503982999999966</v>
      </c>
      <c r="U921" s="311">
        <f t="shared" ca="1" si="408"/>
        <v>0</v>
      </c>
      <c r="V921" s="306">
        <f t="shared" ca="1" si="409"/>
        <v>1.2260509897650667</v>
      </c>
      <c r="W921" s="304">
        <f t="shared" ca="1" si="410"/>
        <v>18.359792265177855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-0.48063220375995996</v>
      </c>
      <c r="AH921" s="304">
        <f t="shared" ca="1" si="434"/>
        <v>-10.289631555834307</v>
      </c>
    </row>
    <row r="922" spans="1:34" x14ac:dyDescent="0.2">
      <c r="A922" s="347">
        <f t="shared" ca="1" si="412"/>
        <v>1E-4</v>
      </c>
      <c r="B922" s="304">
        <f t="shared" ca="1" si="413"/>
        <v>58.02650000000142</v>
      </c>
      <c r="D922" s="306">
        <f t="shared" ca="1" si="414"/>
        <v>-0.14696229416117138</v>
      </c>
      <c r="E922" s="307">
        <f t="shared" ca="1" si="415"/>
        <v>0.47858350551434725</v>
      </c>
      <c r="F922" s="304">
        <f t="shared" ca="1" si="416"/>
        <v>0.50063967846697477</v>
      </c>
      <c r="G922" s="306">
        <f t="shared" ca="1" si="417"/>
        <v>1.5085090057978847</v>
      </c>
      <c r="H922" s="307">
        <f t="shared" ca="1" si="418"/>
        <v>-105.60916412995913</v>
      </c>
      <c r="I922" s="304">
        <f t="shared" ca="1" si="419"/>
        <v>105.61993726399017</v>
      </c>
      <c r="J922" s="306">
        <f t="shared" ca="1" si="420"/>
        <v>809.6451793302748</v>
      </c>
      <c r="K922" s="307">
        <f t="shared" ca="1" si="421"/>
        <v>-8.5863903850655081</v>
      </c>
      <c r="L922" s="304">
        <f t="shared" ca="1" si="406"/>
        <v>809.6907079327251</v>
      </c>
      <c r="M922" s="306">
        <f t="shared" ca="1" si="422"/>
        <v>-1.5565134145360855</v>
      </c>
      <c r="N922" s="304">
        <f t="shared" ca="1" si="423"/>
        <v>-89.181649408414458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1.7842999999999964</v>
      </c>
      <c r="T922" s="304">
        <f t="shared" ca="1" si="407"/>
        <v>17.503982999999966</v>
      </c>
      <c r="U922" s="311">
        <f t="shared" ca="1" si="408"/>
        <v>0</v>
      </c>
      <c r="V922" s="306">
        <f t="shared" ca="1" si="409"/>
        <v>1.2260522845884843</v>
      </c>
      <c r="W922" s="304">
        <f t="shared" ca="1" si="410"/>
        <v>18.359794945213032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-0.48063368722008626</v>
      </c>
      <c r="AH922" s="304">
        <f t="shared" ca="1" si="434"/>
        <v>-10.289633057881462</v>
      </c>
    </row>
    <row r="923" spans="1:34" x14ac:dyDescent="0.2">
      <c r="A923" s="347">
        <f t="shared" ca="1" si="412"/>
        <v>1E-4</v>
      </c>
      <c r="B923" s="304">
        <f t="shared" ca="1" si="413"/>
        <v>58.026600000001423</v>
      </c>
      <c r="D923" s="306">
        <f t="shared" ca="1" si="414"/>
        <v>-0.14696095076413582</v>
      </c>
      <c r="E923" s="307">
        <f t="shared" ca="1" si="415"/>
        <v>0.47858502686587201</v>
      </c>
      <c r="F923" s="304">
        <f t="shared" ca="1" si="416"/>
        <v>0.50064073844395263</v>
      </c>
      <c r="G923" s="306">
        <f t="shared" ca="1" si="417"/>
        <v>1.5084943097028083</v>
      </c>
      <c r="H923" s="307">
        <f t="shared" ca="1" si="418"/>
        <v>-105.60911627145644</v>
      </c>
      <c r="I923" s="304">
        <f t="shared" ca="1" si="419"/>
        <v>105.61988920047403</v>
      </c>
      <c r="J923" s="306">
        <f t="shared" ca="1" si="420"/>
        <v>809.6451793302748</v>
      </c>
      <c r="K923" s="307">
        <f t="shared" ca="1" si="421"/>
        <v>-8.5969512990855783</v>
      </c>
      <c r="L923" s="304">
        <f t="shared" ca="1" si="406"/>
        <v>809.69081999513344</v>
      </c>
      <c r="M923" s="306">
        <f t="shared" ca="1" si="422"/>
        <v>-1.5565135471915981</v>
      </c>
      <c r="N923" s="304">
        <f t="shared" ca="1" si="423"/>
        <v>-89.181657009015467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1.7842999999999964</v>
      </c>
      <c r="T923" s="304">
        <f t="shared" ca="1" si="407"/>
        <v>17.503982999999966</v>
      </c>
      <c r="U923" s="311">
        <f t="shared" ca="1" si="408"/>
        <v>0</v>
      </c>
      <c r="V923" s="306">
        <f t="shared" ca="1" si="409"/>
        <v>1.226053579412683</v>
      </c>
      <c r="W923" s="304">
        <f t="shared" ca="1" si="410"/>
        <v>18.359797625180644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-0.48063517064268169</v>
      </c>
      <c r="AH923" s="304">
        <f t="shared" ca="1" si="434"/>
        <v>-10.289634559890752</v>
      </c>
    </row>
    <row r="924" spans="1:34" x14ac:dyDescent="0.2">
      <c r="A924" s="347">
        <f t="shared" ca="1" si="412"/>
        <v>1E-4</v>
      </c>
      <c r="B924" s="304">
        <f t="shared" ca="1" si="413"/>
        <v>58.026700000001426</v>
      </c>
      <c r="D924" s="306">
        <f t="shared" ca="1" si="414"/>
        <v>-0.14695960737821159</v>
      </c>
      <c r="E924" s="307">
        <f t="shared" ca="1" si="415"/>
        <v>0.47858654817919088</v>
      </c>
      <c r="F924" s="304">
        <f t="shared" ca="1" si="416"/>
        <v>0.50064179839365297</v>
      </c>
      <c r="G924" s="306">
        <f t="shared" ca="1" si="417"/>
        <v>1.5084796137420704</v>
      </c>
      <c r="H924" s="307">
        <f t="shared" ca="1" si="418"/>
        <v>-105.60906841280162</v>
      </c>
      <c r="I924" s="304">
        <f t="shared" ca="1" si="419"/>
        <v>105.61984113680955</v>
      </c>
      <c r="J924" s="306">
        <f t="shared" ca="1" si="420"/>
        <v>809.6451793302748</v>
      </c>
      <c r="K924" s="307">
        <f t="shared" ca="1" si="421"/>
        <v>-8.6075122083197915</v>
      </c>
      <c r="L924" s="304">
        <f t="shared" ca="1" si="406"/>
        <v>809.69093219522301</v>
      </c>
      <c r="M924" s="306">
        <f t="shared" ca="1" si="422"/>
        <v>-1.5565136798459389</v>
      </c>
      <c r="N924" s="304">
        <f t="shared" ca="1" si="423"/>
        <v>-89.18166460954933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1.7842999999999964</v>
      </c>
      <c r="T924" s="304">
        <f t="shared" ca="1" si="407"/>
        <v>17.503982999999966</v>
      </c>
      <c r="U924" s="311">
        <f t="shared" ca="1" si="408"/>
        <v>0</v>
      </c>
      <c r="V924" s="306">
        <f t="shared" ca="1" si="409"/>
        <v>1.2260548742376634</v>
      </c>
      <c r="W924" s="304">
        <f t="shared" ca="1" si="410"/>
        <v>18.359800305080697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 t="e">
        <f t="shared" ca="1" si="411"/>
        <v>#N/A</v>
      </c>
      <c r="AG924" s="306">
        <f t="shared" ca="1" si="433"/>
        <v>-0.48063665402774625</v>
      </c>
      <c r="AH924" s="304">
        <f t="shared" ca="1" si="434"/>
        <v>-10.289636061862176</v>
      </c>
    </row>
    <row r="925" spans="1:34" x14ac:dyDescent="0.2">
      <c r="A925" s="347">
        <f t="shared" ca="1" si="412"/>
        <v>1E-4</v>
      </c>
      <c r="B925" s="304">
        <f t="shared" ca="1" si="413"/>
        <v>58.02680000000143</v>
      </c>
      <c r="D925" s="306">
        <f t="shared" ca="1" si="414"/>
        <v>-0.14695826400340098</v>
      </c>
      <c r="E925" s="307">
        <f t="shared" ca="1" si="415"/>
        <v>0.47858806945430032</v>
      </c>
      <c r="F925" s="304">
        <f t="shared" ca="1" si="416"/>
        <v>0.50064285831607303</v>
      </c>
      <c r="G925" s="306">
        <f t="shared" ca="1" si="417"/>
        <v>1.5084649179156702</v>
      </c>
      <c r="H925" s="307">
        <f t="shared" ca="1" si="418"/>
        <v>-105.60902055399467</v>
      </c>
      <c r="I925" s="304">
        <f t="shared" ca="1" si="419"/>
        <v>105.61979307299674</v>
      </c>
      <c r="J925" s="306">
        <f t="shared" ca="1" si="420"/>
        <v>809.6451793302748</v>
      </c>
      <c r="K925" s="307">
        <f t="shared" ca="1" si="421"/>
        <v>-8.6180731127681316</v>
      </c>
      <c r="L925" s="304">
        <f t="shared" ca="1" si="406"/>
        <v>809.69104453299337</v>
      </c>
      <c r="M925" s="306">
        <f t="shared" ca="1" si="422"/>
        <v>-1.5565138124991083</v>
      </c>
      <c r="N925" s="304">
        <f t="shared" ca="1" si="423"/>
        <v>-89.18167221001606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1.7842999999999964</v>
      </c>
      <c r="T925" s="304">
        <f t="shared" ca="1" si="407"/>
        <v>17.503982999999966</v>
      </c>
      <c r="U925" s="311">
        <f t="shared" ca="1" si="408"/>
        <v>0</v>
      </c>
      <c r="V925" s="306">
        <f t="shared" ca="1" si="409"/>
        <v>1.2260561690634244</v>
      </c>
      <c r="W925" s="304">
        <f t="shared" ca="1" si="410"/>
        <v>18.359802984913181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-0.48063813737528704</v>
      </c>
      <c r="AH925" s="304">
        <f t="shared" ca="1" si="434"/>
        <v>-10.289637563795736</v>
      </c>
    </row>
    <row r="926" spans="1:34" x14ac:dyDescent="0.2">
      <c r="A926" s="347">
        <f t="shared" ca="1" si="412"/>
        <v>1E-4</v>
      </c>
      <c r="B926" s="304">
        <f t="shared" ca="1" si="413"/>
        <v>58.026900000001433</v>
      </c>
      <c r="D926" s="306">
        <f t="shared" ca="1" si="414"/>
        <v>-0.14695692063970167</v>
      </c>
      <c r="E926" s="307">
        <f t="shared" ca="1" si="415"/>
        <v>0.47858959069119678</v>
      </c>
      <c r="F926" s="304">
        <f t="shared" ca="1" si="416"/>
        <v>0.50064391821120813</v>
      </c>
      <c r="G926" s="306">
        <f t="shared" ca="1" si="417"/>
        <v>1.5084502222236063</v>
      </c>
      <c r="H926" s="307">
        <f t="shared" ca="1" si="418"/>
        <v>-105.6089726950356</v>
      </c>
      <c r="I926" s="304">
        <f t="shared" ca="1" si="419"/>
        <v>105.61974500903561</v>
      </c>
      <c r="J926" s="306">
        <f t="shared" ca="1" si="420"/>
        <v>809.6451793302748</v>
      </c>
      <c r="K926" s="307">
        <f t="shared" ca="1" si="421"/>
        <v>-8.6286340124305827</v>
      </c>
      <c r="L926" s="304">
        <f t="shared" ca="1" si="406"/>
        <v>809.69115700844441</v>
      </c>
      <c r="M926" s="306">
        <f t="shared" ca="1" si="422"/>
        <v>-1.5565139451511059</v>
      </c>
      <c r="N926" s="304">
        <f t="shared" ca="1" si="423"/>
        <v>-89.181679810415673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1.7842999999999964</v>
      </c>
      <c r="T926" s="304">
        <f t="shared" ca="1" si="407"/>
        <v>17.503982999999966</v>
      </c>
      <c r="U926" s="311">
        <f t="shared" ca="1" si="408"/>
        <v>0</v>
      </c>
      <c r="V926" s="306">
        <f t="shared" ca="1" si="409"/>
        <v>1.2260574638899673</v>
      </c>
      <c r="W926" s="304">
        <f t="shared" ca="1" si="410"/>
        <v>18.35980566467812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-0.4806396206852952</v>
      </c>
      <c r="AH926" s="304">
        <f t="shared" ca="1" si="434"/>
        <v>-10.289639065691428</v>
      </c>
    </row>
    <row r="927" spans="1:34" x14ac:dyDescent="0.2">
      <c r="A927" s="347">
        <f t="shared" ca="1" si="412"/>
        <v>1E-4</v>
      </c>
      <c r="B927" s="304">
        <f t="shared" ca="1" si="413"/>
        <v>58.027000000001436</v>
      </c>
      <c r="D927" s="306">
        <f t="shared" ca="1" si="414"/>
        <v>-0.14695557728711617</v>
      </c>
      <c r="E927" s="307">
        <f t="shared" ca="1" si="415"/>
        <v>0.478591111889898</v>
      </c>
      <c r="F927" s="304">
        <f t="shared" ca="1" si="416"/>
        <v>0.50064497807907593</v>
      </c>
      <c r="G927" s="306">
        <f t="shared" ca="1" si="417"/>
        <v>1.5084355266658775</v>
      </c>
      <c r="H927" s="307">
        <f t="shared" ca="1" si="418"/>
        <v>-105.60892483592441</v>
      </c>
      <c r="I927" s="304">
        <f t="shared" ca="1" si="419"/>
        <v>105.61969694492613</v>
      </c>
      <c r="J927" s="306">
        <f t="shared" ca="1" si="420"/>
        <v>809.6451793302748</v>
      </c>
      <c r="K927" s="307">
        <f t="shared" ca="1" si="421"/>
        <v>-8.6391949073071306</v>
      </c>
      <c r="L927" s="304">
        <f t="shared" ca="1" si="406"/>
        <v>809.69126962157577</v>
      </c>
      <c r="M927" s="306">
        <f t="shared" ca="1" si="422"/>
        <v>-1.5565140778019322</v>
      </c>
      <c r="N927" s="304">
        <f t="shared" ca="1" si="423"/>
        <v>-89.181687410748168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1.7842999999999964</v>
      </c>
      <c r="T927" s="304">
        <f t="shared" ca="1" si="407"/>
        <v>17.503982999999966</v>
      </c>
      <c r="U927" s="311">
        <f t="shared" ca="1" si="408"/>
        <v>0</v>
      </c>
      <c r="V927" s="306">
        <f t="shared" ca="1" si="409"/>
        <v>1.2260587587172913</v>
      </c>
      <c r="W927" s="304">
        <f t="shared" ca="1" si="410"/>
        <v>18.359808344375491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-0.48064110395778492</v>
      </c>
      <c r="AH927" s="304">
        <f t="shared" ca="1" si="434"/>
        <v>-10.289640567549267</v>
      </c>
    </row>
    <row r="928" spans="1:34" x14ac:dyDescent="0.2">
      <c r="A928" s="347">
        <f t="shared" ca="1" si="412"/>
        <v>1E-4</v>
      </c>
      <c r="B928" s="304">
        <f t="shared" ca="1" si="413"/>
        <v>58.02710000000144</v>
      </c>
      <c r="D928" s="306">
        <f t="shared" ca="1" si="414"/>
        <v>-0.1469542339456397</v>
      </c>
      <c r="E928" s="307">
        <f t="shared" ca="1" si="415"/>
        <v>0.47859263305038446</v>
      </c>
      <c r="F928" s="304">
        <f t="shared" ca="1" si="416"/>
        <v>0.50064603791965612</v>
      </c>
      <c r="G928" s="306">
        <f t="shared" ca="1" si="417"/>
        <v>1.5084208312424829</v>
      </c>
      <c r="H928" s="307">
        <f t="shared" ca="1" si="418"/>
        <v>-105.60887697666111</v>
      </c>
      <c r="I928" s="304">
        <f t="shared" ca="1" si="419"/>
        <v>105.61964888066835</v>
      </c>
      <c r="J928" s="306">
        <f t="shared" ca="1" si="420"/>
        <v>809.6451793302748</v>
      </c>
      <c r="K928" s="307">
        <f t="shared" ca="1" si="421"/>
        <v>-8.6497557973977592</v>
      </c>
      <c r="L928" s="304">
        <f t="shared" ca="1" si="406"/>
        <v>809.69138237238724</v>
      </c>
      <c r="M928" s="306">
        <f t="shared" ca="1" si="422"/>
        <v>-1.5565142104515866</v>
      </c>
      <c r="N928" s="304">
        <f t="shared" ca="1" si="423"/>
        <v>-89.181695011013517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1.7842999999999964</v>
      </c>
      <c r="T928" s="304">
        <f t="shared" ca="1" si="407"/>
        <v>17.503982999999966</v>
      </c>
      <c r="U928" s="311">
        <f t="shared" ca="1" si="408"/>
        <v>0</v>
      </c>
      <c r="V928" s="306">
        <f t="shared" ca="1" si="409"/>
        <v>1.2260600535453963</v>
      </c>
      <c r="W928" s="304">
        <f t="shared" ca="1" si="410"/>
        <v>18.359811024005303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-0.48064258719274378</v>
      </c>
      <c r="AH928" s="304">
        <f t="shared" ca="1" si="434"/>
        <v>-10.289642069369236</v>
      </c>
    </row>
    <row r="929" spans="1:34" x14ac:dyDescent="0.2">
      <c r="A929" s="347">
        <f t="shared" ca="1" si="412"/>
        <v>1E-4</v>
      </c>
      <c r="B929" s="304">
        <f t="shared" ca="1" si="413"/>
        <v>58.027200000001443</v>
      </c>
      <c r="D929" s="306">
        <f t="shared" ca="1" si="414"/>
        <v>-0.14695289061527927</v>
      </c>
      <c r="E929" s="307">
        <f t="shared" ca="1" si="415"/>
        <v>0.47859415417266682</v>
      </c>
      <c r="F929" s="304">
        <f t="shared" ca="1" si="416"/>
        <v>0.50064709773296068</v>
      </c>
      <c r="G929" s="306">
        <f t="shared" ca="1" si="417"/>
        <v>1.5084061359534213</v>
      </c>
      <c r="H929" s="307">
        <f t="shared" ca="1" si="418"/>
        <v>-105.60882911724569</v>
      </c>
      <c r="I929" s="304">
        <f t="shared" ca="1" si="419"/>
        <v>105.61960081626223</v>
      </c>
      <c r="J929" s="306">
        <f t="shared" ca="1" si="420"/>
        <v>809.6451793302748</v>
      </c>
      <c r="K929" s="307">
        <f t="shared" ca="1" si="421"/>
        <v>-8.6603166827024545</v>
      </c>
      <c r="L929" s="304">
        <f t="shared" ca="1" si="406"/>
        <v>809.6914952608787</v>
      </c>
      <c r="M929" s="306">
        <f t="shared" ca="1" si="422"/>
        <v>-1.5565143431000696</v>
      </c>
      <c r="N929" s="304">
        <f t="shared" ca="1" si="423"/>
        <v>-89.181702611211762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1.7842999999999964</v>
      </c>
      <c r="T929" s="304">
        <f t="shared" ca="1" si="407"/>
        <v>17.503982999999966</v>
      </c>
      <c r="U929" s="311">
        <f t="shared" ca="1" si="408"/>
        <v>0</v>
      </c>
      <c r="V929" s="306">
        <f t="shared" ca="1" si="409"/>
        <v>1.2260613483742824</v>
      </c>
      <c r="W929" s="304">
        <f t="shared" ca="1" si="410"/>
        <v>18.359813703567561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-0.48064407039017532</v>
      </c>
      <c r="AH929" s="304">
        <f t="shared" ca="1" si="434"/>
        <v>-10.289643571151343</v>
      </c>
    </row>
    <row r="930" spans="1:34" x14ac:dyDescent="0.2">
      <c r="A930" s="347">
        <f t="shared" ca="1" si="412"/>
        <v>1E-4</v>
      </c>
      <c r="B930" s="304">
        <f t="shared" ca="1" si="413"/>
        <v>58.027300000001446</v>
      </c>
      <c r="D930" s="306">
        <f t="shared" ca="1" si="414"/>
        <v>-0.14695154729602802</v>
      </c>
      <c r="E930" s="307">
        <f t="shared" ca="1" si="415"/>
        <v>0.47859567525674329</v>
      </c>
      <c r="F930" s="304">
        <f t="shared" ca="1" si="416"/>
        <v>0.5006481575189855</v>
      </c>
      <c r="G930" s="306">
        <f t="shared" ca="1" si="417"/>
        <v>1.5083914407986918</v>
      </c>
      <c r="H930" s="307">
        <f t="shared" ca="1" si="418"/>
        <v>-105.60878125767816</v>
      </c>
      <c r="I930" s="304">
        <f t="shared" ca="1" si="419"/>
        <v>105.61955275170781</v>
      </c>
      <c r="J930" s="306">
        <f t="shared" ca="1" si="420"/>
        <v>809.6451793302748</v>
      </c>
      <c r="K930" s="307">
        <f t="shared" ca="1" si="421"/>
        <v>-8.6708775632212003</v>
      </c>
      <c r="L930" s="304">
        <f t="shared" ca="1" si="406"/>
        <v>809.6916082870498</v>
      </c>
      <c r="M930" s="306">
        <f t="shared" ca="1" si="422"/>
        <v>-1.556514475747381</v>
      </c>
      <c r="N930" s="304">
        <f t="shared" ca="1" si="423"/>
        <v>-89.18171021134286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1.7842999999999964</v>
      </c>
      <c r="T930" s="304">
        <f t="shared" ca="1" si="407"/>
        <v>17.503982999999966</v>
      </c>
      <c r="U930" s="311">
        <f t="shared" ca="1" si="408"/>
        <v>0</v>
      </c>
      <c r="V930" s="306">
        <f t="shared" ca="1" si="409"/>
        <v>1.2260626432039503</v>
      </c>
      <c r="W930" s="304">
        <f t="shared" ca="1" si="410"/>
        <v>18.359816383062274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-0.48064555355008487</v>
      </c>
      <c r="AH930" s="304">
        <f t="shared" ca="1" si="434"/>
        <v>-10.289645072895588</v>
      </c>
    </row>
    <row r="931" spans="1:34" x14ac:dyDescent="0.2">
      <c r="A931" s="347">
        <f t="shared" ca="1" si="412"/>
        <v>1E-4</v>
      </c>
      <c r="B931" s="304">
        <f t="shared" ca="1" si="413"/>
        <v>58.02740000000145</v>
      </c>
      <c r="D931" s="306">
        <f t="shared" ca="1" si="414"/>
        <v>-0.14695020398789066</v>
      </c>
      <c r="E931" s="307">
        <f t="shared" ca="1" si="415"/>
        <v>0.47859719630261921</v>
      </c>
      <c r="F931" s="304">
        <f t="shared" ca="1" si="416"/>
        <v>0.50064921727773681</v>
      </c>
      <c r="G931" s="306">
        <f t="shared" ca="1" si="417"/>
        <v>1.5083767457782931</v>
      </c>
      <c r="H931" s="307">
        <f t="shared" ca="1" si="418"/>
        <v>-105.60873339795853</v>
      </c>
      <c r="I931" s="304">
        <f t="shared" ca="1" si="419"/>
        <v>105.61950468700506</v>
      </c>
      <c r="J931" s="306">
        <f t="shared" ca="1" si="420"/>
        <v>809.6451793302748</v>
      </c>
      <c r="K931" s="307">
        <f t="shared" ca="1" si="421"/>
        <v>-8.6814384389539825</v>
      </c>
      <c r="L931" s="304">
        <f t="shared" ca="1" si="406"/>
        <v>809.69172145090022</v>
      </c>
      <c r="M931" s="306">
        <f t="shared" ca="1" si="422"/>
        <v>-1.5565146083935208</v>
      </c>
      <c r="N931" s="304">
        <f t="shared" ca="1" si="423"/>
        <v>-89.181717811406841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1.7842999999999964</v>
      </c>
      <c r="T931" s="304">
        <f t="shared" ca="1" si="407"/>
        <v>17.503982999999966</v>
      </c>
      <c r="U931" s="311">
        <f t="shared" ca="1" si="408"/>
        <v>0</v>
      </c>
      <c r="V931" s="306">
        <f t="shared" ca="1" si="409"/>
        <v>1.2260639380343994</v>
      </c>
      <c r="W931" s="304">
        <f t="shared" ca="1" si="410"/>
        <v>18.359819062489418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-0.48064703667247421</v>
      </c>
      <c r="AH931" s="304">
        <f t="shared" ca="1" si="434"/>
        <v>-10.289646574601978</v>
      </c>
    </row>
    <row r="932" spans="1:34" x14ac:dyDescent="0.2">
      <c r="A932" s="347">
        <f t="shared" ca="1" si="412"/>
        <v>1E-4</v>
      </c>
      <c r="B932" s="304">
        <f t="shared" ca="1" si="413"/>
        <v>58.027500000001453</v>
      </c>
      <c r="D932" s="306">
        <f t="shared" ca="1" si="414"/>
        <v>-0.14694886069086471</v>
      </c>
      <c r="E932" s="307">
        <f t="shared" ca="1" si="415"/>
        <v>0.47859871731028569</v>
      </c>
      <c r="F932" s="304">
        <f t="shared" ca="1" si="416"/>
        <v>0.50065027700920517</v>
      </c>
      <c r="G932" s="306">
        <f t="shared" ca="1" si="417"/>
        <v>1.508362050892224</v>
      </c>
      <c r="H932" s="307">
        <f t="shared" ca="1" si="418"/>
        <v>-105.6086855380868</v>
      </c>
      <c r="I932" s="304">
        <f t="shared" ca="1" si="419"/>
        <v>105.61945662215403</v>
      </c>
      <c r="J932" s="306">
        <f t="shared" ca="1" si="420"/>
        <v>809.6451793302748</v>
      </c>
      <c r="K932" s="307">
        <f t="shared" ca="1" si="421"/>
        <v>-8.6919993099007851</v>
      </c>
      <c r="L932" s="304">
        <f t="shared" ca="1" si="406"/>
        <v>809.69183475242983</v>
      </c>
      <c r="M932" s="306">
        <f t="shared" ca="1" si="422"/>
        <v>-1.5565147410384892</v>
      </c>
      <c r="N932" s="304">
        <f t="shared" ca="1" si="423"/>
        <v>-89.181725411403704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1.7842999999999964</v>
      </c>
      <c r="T932" s="304">
        <f t="shared" ca="1" si="407"/>
        <v>17.503982999999966</v>
      </c>
      <c r="U932" s="311">
        <f t="shared" ca="1" si="408"/>
        <v>0</v>
      </c>
      <c r="V932" s="306">
        <f t="shared" ca="1" si="409"/>
        <v>1.2260652328656294</v>
      </c>
      <c r="W932" s="304">
        <f t="shared" ca="1" si="410"/>
        <v>18.359821741849018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-0.48064851975733269</v>
      </c>
      <c r="AH932" s="304">
        <f t="shared" ca="1" si="434"/>
        <v>-10.289648076270501</v>
      </c>
    </row>
    <row r="933" spans="1:34" x14ac:dyDescent="0.2">
      <c r="A933" s="347">
        <f t="shared" ca="1" si="412"/>
        <v>1E-4</v>
      </c>
      <c r="B933" s="304">
        <f t="shared" ca="1" si="413"/>
        <v>58.027600000001456</v>
      </c>
      <c r="D933" s="306">
        <f t="shared" ca="1" si="414"/>
        <v>-0.14694751740495041</v>
      </c>
      <c r="E933" s="307">
        <f t="shared" ca="1" si="415"/>
        <v>0.4786002382797534</v>
      </c>
      <c r="F933" s="304">
        <f t="shared" ca="1" si="416"/>
        <v>0.50065133671340079</v>
      </c>
      <c r="G933" s="306">
        <f t="shared" ca="1" si="417"/>
        <v>1.5083473561404834</v>
      </c>
      <c r="H933" s="307">
        <f t="shared" ca="1" si="418"/>
        <v>-105.60863767806298</v>
      </c>
      <c r="I933" s="304">
        <f t="shared" ca="1" si="419"/>
        <v>105.61940855715469</v>
      </c>
      <c r="J933" s="306">
        <f t="shared" ca="1" si="420"/>
        <v>809.6451793302748</v>
      </c>
      <c r="K933" s="307">
        <f t="shared" ca="1" si="421"/>
        <v>-8.702560176061592</v>
      </c>
      <c r="L933" s="304">
        <f t="shared" ca="1" si="406"/>
        <v>809.6919481916384</v>
      </c>
      <c r="M933" s="306">
        <f t="shared" ca="1" si="422"/>
        <v>-1.556514873682286</v>
      </c>
      <c r="N933" s="304">
        <f t="shared" ca="1" si="423"/>
        <v>-89.181733011333449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1.7842999999999964</v>
      </c>
      <c r="T933" s="304">
        <f t="shared" ca="1" si="407"/>
        <v>17.503982999999966</v>
      </c>
      <c r="U933" s="311">
        <f t="shared" ca="1" si="408"/>
        <v>0</v>
      </c>
      <c r="V933" s="306">
        <f t="shared" ca="1" si="409"/>
        <v>1.226066527697641</v>
      </c>
      <c r="W933" s="304">
        <f t="shared" ca="1" si="410"/>
        <v>18.35982442114107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-0.48065000280467274</v>
      </c>
      <c r="AH933" s="304">
        <f t="shared" ca="1" si="434"/>
        <v>-10.289649577901168</v>
      </c>
    </row>
    <row r="934" spans="1:34" x14ac:dyDescent="0.2">
      <c r="A934" s="347">
        <f t="shared" ca="1" si="412"/>
        <v>1E-4</v>
      </c>
      <c r="B934" s="304">
        <f t="shared" ca="1" si="413"/>
        <v>58.02770000000146</v>
      </c>
      <c r="D934" s="306">
        <f t="shared" ca="1" si="414"/>
        <v>-0.14694617413014774</v>
      </c>
      <c r="E934" s="307">
        <f t="shared" ca="1" si="415"/>
        <v>0.47860175921102055</v>
      </c>
      <c r="F934" s="304">
        <f t="shared" ca="1" si="416"/>
        <v>0.50065239639032133</v>
      </c>
      <c r="G934" s="306">
        <f t="shared" ca="1" si="417"/>
        <v>1.5083326615230703</v>
      </c>
      <c r="H934" s="307">
        <f t="shared" ca="1" si="418"/>
        <v>-105.60858981788705</v>
      </c>
      <c r="I934" s="304">
        <f t="shared" ca="1" si="419"/>
        <v>105.61936049200702</v>
      </c>
      <c r="J934" s="306">
        <f t="shared" ca="1" si="420"/>
        <v>809.6451793302748</v>
      </c>
      <c r="K934" s="307">
        <f t="shared" ca="1" si="421"/>
        <v>-8.7131210374363892</v>
      </c>
      <c r="L934" s="304">
        <f t="shared" ca="1" si="406"/>
        <v>809.6920617685256</v>
      </c>
      <c r="M934" s="306">
        <f t="shared" ca="1" si="422"/>
        <v>-1.5565150063249114</v>
      </c>
      <c r="N934" s="304">
        <f t="shared" ca="1" si="423"/>
        <v>-89.181740611196062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1.7842999999999964</v>
      </c>
      <c r="T934" s="304">
        <f t="shared" ca="1" si="407"/>
        <v>17.503982999999966</v>
      </c>
      <c r="U934" s="311">
        <f t="shared" ca="1" si="408"/>
        <v>0</v>
      </c>
      <c r="V934" s="306">
        <f t="shared" ca="1" si="409"/>
        <v>1.2260678225304336</v>
      </c>
      <c r="W934" s="304">
        <f t="shared" ca="1" si="410"/>
        <v>18.359827100365564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-0.48065148581449257</v>
      </c>
      <c r="AH934" s="304">
        <f t="shared" ca="1" si="434"/>
        <v>-10.289651079493979</v>
      </c>
    </row>
    <row r="935" spans="1:34" x14ac:dyDescent="0.2">
      <c r="A935" s="347">
        <f t="shared" ca="1" si="412"/>
        <v>1E-4</v>
      </c>
      <c r="B935" s="304">
        <f t="shared" ca="1" si="413"/>
        <v>58.027800000001463</v>
      </c>
      <c r="D935" s="306">
        <f t="shared" ca="1" si="414"/>
        <v>-0.14694483086645663</v>
      </c>
      <c r="E935" s="307">
        <f t="shared" ca="1" si="415"/>
        <v>0.47860328010408182</v>
      </c>
      <c r="F935" s="304">
        <f t="shared" ca="1" si="416"/>
        <v>0.50065345603996159</v>
      </c>
      <c r="G935" s="306">
        <f t="shared" ca="1" si="417"/>
        <v>1.5083179670399838</v>
      </c>
      <c r="H935" s="307">
        <f t="shared" ca="1" si="418"/>
        <v>-105.60854195755904</v>
      </c>
      <c r="I935" s="304">
        <f t="shared" ca="1" si="419"/>
        <v>105.61931242671108</v>
      </c>
      <c r="J935" s="306">
        <f t="shared" ca="1" si="420"/>
        <v>809.6451793302748</v>
      </c>
      <c r="K935" s="307">
        <f t="shared" ca="1" si="421"/>
        <v>-8.7236818940251624</v>
      </c>
      <c r="L935" s="304">
        <f t="shared" ca="1" si="406"/>
        <v>809.69217548309121</v>
      </c>
      <c r="M935" s="306">
        <f t="shared" ca="1" si="422"/>
        <v>-1.5565151389663652</v>
      </c>
      <c r="N935" s="304">
        <f t="shared" ca="1" si="423"/>
        <v>-89.181748210991557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1.7842999999999964</v>
      </c>
      <c r="T935" s="304">
        <f t="shared" ca="1" si="407"/>
        <v>17.503982999999966</v>
      </c>
      <c r="U935" s="311">
        <f t="shared" ca="1" si="408"/>
        <v>0</v>
      </c>
      <c r="V935" s="306">
        <f t="shared" ca="1" si="409"/>
        <v>1.2260691173640077</v>
      </c>
      <c r="W935" s="304">
        <f t="shared" ca="1" si="410"/>
        <v>18.359829779522521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-0.48065296878678687</v>
      </c>
      <c r="AH935" s="304">
        <f t="shared" ca="1" si="434"/>
        <v>-10.289652581048927</v>
      </c>
    </row>
    <row r="936" spans="1:34" x14ac:dyDescent="0.2">
      <c r="A936" s="347">
        <f t="shared" ca="1" si="412"/>
        <v>1E-4</v>
      </c>
      <c r="B936" s="304">
        <f t="shared" ca="1" si="413"/>
        <v>58.027900000001466</v>
      </c>
      <c r="D936" s="306">
        <f t="shared" ca="1" si="414"/>
        <v>-0.14694348761387729</v>
      </c>
      <c r="E936" s="307">
        <f t="shared" ca="1" si="415"/>
        <v>0.47860480095894786</v>
      </c>
      <c r="F936" s="304">
        <f t="shared" ca="1" si="416"/>
        <v>0.50065451566233155</v>
      </c>
      <c r="G936" s="306">
        <f t="shared" ca="1" si="417"/>
        <v>1.5083032726912224</v>
      </c>
      <c r="H936" s="307">
        <f t="shared" ca="1" si="418"/>
        <v>-105.60849409707895</v>
      </c>
      <c r="I936" s="304">
        <f t="shared" ca="1" si="419"/>
        <v>105.61926436126683</v>
      </c>
      <c r="J936" s="306">
        <f t="shared" ca="1" si="420"/>
        <v>809.6451793302748</v>
      </c>
      <c r="K936" s="307">
        <f t="shared" ca="1" si="421"/>
        <v>-8.7342427458278937</v>
      </c>
      <c r="L936" s="304">
        <f t="shared" ca="1" si="406"/>
        <v>809.69228933533498</v>
      </c>
      <c r="M936" s="306">
        <f t="shared" ca="1" si="422"/>
        <v>-1.5565152716066475</v>
      </c>
      <c r="N936" s="304">
        <f t="shared" ca="1" si="423"/>
        <v>-89.18175581071992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1.7842999999999964</v>
      </c>
      <c r="T936" s="304">
        <f t="shared" ca="1" si="407"/>
        <v>17.503982999999966</v>
      </c>
      <c r="U936" s="311">
        <f t="shared" ca="1" si="408"/>
        <v>0</v>
      </c>
      <c r="V936" s="306">
        <f t="shared" ca="1" si="409"/>
        <v>1.226070412198363</v>
      </c>
      <c r="W936" s="304">
        <f t="shared" ca="1" si="410"/>
        <v>18.359832458611926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-0.48065445172156629</v>
      </c>
      <c r="AH936" s="304">
        <f t="shared" ca="1" si="434"/>
        <v>-10.289654082566024</v>
      </c>
    </row>
    <row r="937" spans="1:34" x14ac:dyDescent="0.2">
      <c r="A937" s="347">
        <f t="shared" ca="1" si="412"/>
        <v>1E-4</v>
      </c>
      <c r="B937" s="304">
        <f t="shared" ca="1" si="413"/>
        <v>58.02800000000147</v>
      </c>
      <c r="D937" s="306">
        <f t="shared" ca="1" si="414"/>
        <v>-0.1469421443724096</v>
      </c>
      <c r="E937" s="307">
        <f t="shared" ca="1" si="415"/>
        <v>0.47860632177561158</v>
      </c>
      <c r="F937" s="304">
        <f t="shared" ca="1" si="416"/>
        <v>0.50065557525742421</v>
      </c>
      <c r="G937" s="306">
        <f t="shared" ca="1" si="417"/>
        <v>1.5082885784767852</v>
      </c>
      <c r="H937" s="307">
        <f t="shared" ca="1" si="418"/>
        <v>-105.60844623644677</v>
      </c>
      <c r="I937" s="304">
        <f t="shared" ca="1" si="419"/>
        <v>105.61921629567429</v>
      </c>
      <c r="J937" s="306">
        <f t="shared" ca="1" si="420"/>
        <v>809.6451793302748</v>
      </c>
      <c r="K937" s="307">
        <f t="shared" ca="1" si="421"/>
        <v>-8.7448035928445709</v>
      </c>
      <c r="L937" s="304">
        <f t="shared" ca="1" si="406"/>
        <v>809.69240332525669</v>
      </c>
      <c r="M937" s="306">
        <f t="shared" ca="1" si="422"/>
        <v>-1.5565154042457583</v>
      </c>
      <c r="N937" s="304">
        <f t="shared" ca="1" si="423"/>
        <v>-89.181763410381166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1.7842999999999964</v>
      </c>
      <c r="T937" s="304">
        <f t="shared" ca="1" si="407"/>
        <v>17.503982999999966</v>
      </c>
      <c r="U937" s="311">
        <f t="shared" ca="1" si="408"/>
        <v>0</v>
      </c>
      <c r="V937" s="306">
        <f t="shared" ca="1" si="409"/>
        <v>1.2260717070334992</v>
      </c>
      <c r="W937" s="304">
        <f t="shared" ca="1" si="410"/>
        <v>18.359835137633773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-0.4806559346188255</v>
      </c>
      <c r="AH937" s="304">
        <f t="shared" ca="1" si="434"/>
        <v>-10.289655584045263</v>
      </c>
    </row>
    <row r="938" spans="1:34" x14ac:dyDescent="0.2">
      <c r="A938" s="347">
        <f t="shared" ca="1" si="412"/>
        <v>1E-4</v>
      </c>
      <c r="B938" s="304">
        <f t="shared" ca="1" si="413"/>
        <v>58.028100000001473</v>
      </c>
      <c r="D938" s="306">
        <f t="shared" ca="1" si="414"/>
        <v>-0.14694080114205352</v>
      </c>
      <c r="E938" s="307">
        <f t="shared" ca="1" si="415"/>
        <v>0.47860784255406941</v>
      </c>
      <c r="F938" s="304">
        <f t="shared" ca="1" si="416"/>
        <v>0.5006566348252357</v>
      </c>
      <c r="G938" s="306">
        <f t="shared" ca="1" si="417"/>
        <v>1.508273884396671</v>
      </c>
      <c r="H938" s="307">
        <f t="shared" ca="1" si="418"/>
        <v>-105.60839837566252</v>
      </c>
      <c r="I938" s="304">
        <f t="shared" ca="1" si="419"/>
        <v>105.61916822993348</v>
      </c>
      <c r="J938" s="306">
        <f t="shared" ca="1" si="420"/>
        <v>809.6451793302748</v>
      </c>
      <c r="K938" s="307">
        <f t="shared" ca="1" si="421"/>
        <v>-8.755364435075176</v>
      </c>
      <c r="L938" s="304">
        <f t="shared" ca="1" si="406"/>
        <v>809.69251745285612</v>
      </c>
      <c r="M938" s="306">
        <f t="shared" ca="1" si="422"/>
        <v>-1.5565155368836976</v>
      </c>
      <c r="N938" s="304">
        <f t="shared" ca="1" si="423"/>
        <v>-89.181771009975293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1.7842999999999964</v>
      </c>
      <c r="T938" s="304">
        <f t="shared" ca="1" si="407"/>
        <v>17.503982999999966</v>
      </c>
      <c r="U938" s="311">
        <f t="shared" ca="1" si="408"/>
        <v>0</v>
      </c>
      <c r="V938" s="306">
        <f t="shared" ca="1" si="409"/>
        <v>1.226073001869417</v>
      </c>
      <c r="W938" s="304">
        <f t="shared" ca="1" si="410"/>
        <v>18.359837816588087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-0.48065741747855917</v>
      </c>
      <c r="AH938" s="304">
        <f t="shared" ca="1" si="434"/>
        <v>-10.289657085486638</v>
      </c>
    </row>
    <row r="939" spans="1:34" x14ac:dyDescent="0.2">
      <c r="A939" s="347">
        <f t="shared" ca="1" si="412"/>
        <v>1E-4</v>
      </c>
      <c r="B939" s="304">
        <f t="shared" ca="1" si="413"/>
        <v>58.028200000001476</v>
      </c>
      <c r="D939" s="306">
        <f t="shared" ca="1" si="414"/>
        <v>-0.14693945792280932</v>
      </c>
      <c r="E939" s="307">
        <f t="shared" ca="1" si="415"/>
        <v>0.47860936329433557</v>
      </c>
      <c r="F939" s="304">
        <f t="shared" ca="1" si="416"/>
        <v>0.50065769436577956</v>
      </c>
      <c r="G939" s="306">
        <f t="shared" ca="1" si="417"/>
        <v>1.5082591904508786</v>
      </c>
      <c r="H939" s="307">
        <f t="shared" ca="1" si="418"/>
        <v>-105.60835051472618</v>
      </c>
      <c r="I939" s="304">
        <f t="shared" ca="1" si="419"/>
        <v>105.61912016404438</v>
      </c>
      <c r="J939" s="306">
        <f t="shared" ca="1" si="420"/>
        <v>809.6451793302748</v>
      </c>
      <c r="K939" s="307">
        <f t="shared" ca="1" si="421"/>
        <v>-8.765925272519695</v>
      </c>
      <c r="L939" s="304">
        <f t="shared" ca="1" si="406"/>
        <v>809.69263171813304</v>
      </c>
      <c r="M939" s="306">
        <f t="shared" ca="1" si="422"/>
        <v>-1.5565156695204656</v>
      </c>
      <c r="N939" s="304">
        <f t="shared" ca="1" si="423"/>
        <v>-89.181778609502302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1.7842999999999964</v>
      </c>
      <c r="T939" s="304">
        <f t="shared" ca="1" si="407"/>
        <v>17.503982999999966</v>
      </c>
      <c r="U939" s="311">
        <f t="shared" ca="1" si="408"/>
        <v>0</v>
      </c>
      <c r="V939" s="306">
        <f t="shared" ca="1" si="409"/>
        <v>1.2260742967061162</v>
      </c>
      <c r="W939" s="304">
        <f t="shared" ca="1" si="410"/>
        <v>18.35984049547486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-0.48065890030077796</v>
      </c>
      <c r="AH939" s="304">
        <f t="shared" ca="1" si="434"/>
        <v>-10.289658586890166</v>
      </c>
    </row>
    <row r="940" spans="1:34" x14ac:dyDescent="0.2">
      <c r="A940" s="347">
        <f t="shared" ca="1" si="412"/>
        <v>1E-4</v>
      </c>
      <c r="B940" s="304">
        <f t="shared" ca="1" si="413"/>
        <v>58.028300000001479</v>
      </c>
      <c r="D940" s="306">
        <f t="shared" ca="1" si="414"/>
        <v>-0.14693811471467463</v>
      </c>
      <c r="E940" s="307">
        <f t="shared" ca="1" si="415"/>
        <v>0.4786108839964065</v>
      </c>
      <c r="F940" s="304">
        <f t="shared" ca="1" si="416"/>
        <v>0.50065875387905134</v>
      </c>
      <c r="G940" s="306">
        <f t="shared" ca="1" si="417"/>
        <v>1.5082444966394071</v>
      </c>
      <c r="H940" s="307">
        <f t="shared" ca="1" si="418"/>
        <v>-105.60830265363778</v>
      </c>
      <c r="I940" s="304">
        <f t="shared" ca="1" si="419"/>
        <v>105.619072098007</v>
      </c>
      <c r="J940" s="306">
        <f t="shared" ca="1" si="420"/>
        <v>809.6451793302748</v>
      </c>
      <c r="K940" s="307">
        <f t="shared" ca="1" si="421"/>
        <v>-8.7764861051781136</v>
      </c>
      <c r="L940" s="304">
        <f t="shared" ca="1" si="406"/>
        <v>809.69274612108711</v>
      </c>
      <c r="M940" s="306">
        <f t="shared" ca="1" si="422"/>
        <v>-1.5565158021560619</v>
      </c>
      <c r="N940" s="304">
        <f t="shared" ca="1" si="423"/>
        <v>-89.181786208962194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1.7842999999999964</v>
      </c>
      <c r="T940" s="304">
        <f t="shared" ca="1" si="407"/>
        <v>17.503982999999966</v>
      </c>
      <c r="U940" s="311">
        <f t="shared" ca="1" si="408"/>
        <v>0</v>
      </c>
      <c r="V940" s="306">
        <f t="shared" ca="1" si="409"/>
        <v>1.2260755915435961</v>
      </c>
      <c r="W940" s="304">
        <f t="shared" ca="1" si="410"/>
        <v>18.359843174294078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-0.48066038308548187</v>
      </c>
      <c r="AH940" s="304">
        <f t="shared" ca="1" si="434"/>
        <v>-10.289660088255841</v>
      </c>
    </row>
    <row r="941" spans="1:34" x14ac:dyDescent="0.2">
      <c r="A941" s="347">
        <f t="shared" ca="1" si="412"/>
        <v>1E-4</v>
      </c>
      <c r="B941" s="304">
        <f t="shared" ca="1" si="413"/>
        <v>58.028400000001483</v>
      </c>
      <c r="D941" s="306">
        <f t="shared" ca="1" si="414"/>
        <v>-0.14693677151765391</v>
      </c>
      <c r="E941" s="307">
        <f t="shared" ca="1" si="415"/>
        <v>0.478612404660268</v>
      </c>
      <c r="F941" s="304">
        <f t="shared" ca="1" si="416"/>
        <v>0.50065981336503862</v>
      </c>
      <c r="G941" s="306">
        <f t="shared" ca="1" si="417"/>
        <v>1.5082298029622554</v>
      </c>
      <c r="H941" s="307">
        <f t="shared" ca="1" si="418"/>
        <v>-105.60825479239732</v>
      </c>
      <c r="I941" s="304">
        <f t="shared" ca="1" si="419"/>
        <v>105.61902403182135</v>
      </c>
      <c r="J941" s="306">
        <f t="shared" ca="1" si="420"/>
        <v>809.6451793302748</v>
      </c>
      <c r="K941" s="307">
        <f t="shared" ca="1" si="421"/>
        <v>-8.7870469330504157</v>
      </c>
      <c r="L941" s="304">
        <f t="shared" ca="1" si="406"/>
        <v>809.6928606617181</v>
      </c>
      <c r="M941" s="306">
        <f t="shared" ca="1" si="422"/>
        <v>-1.5565159347904869</v>
      </c>
      <c r="N941" s="304">
        <f t="shared" ca="1" si="423"/>
        <v>-89.181793808354954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1.7842999999999964</v>
      </c>
      <c r="T941" s="304">
        <f t="shared" ca="1" si="407"/>
        <v>17.503982999999966</v>
      </c>
      <c r="U941" s="311">
        <f t="shared" ca="1" si="408"/>
        <v>0</v>
      </c>
      <c r="V941" s="306">
        <f t="shared" ca="1" si="409"/>
        <v>1.2260768863818579</v>
      </c>
      <c r="W941" s="304">
        <f t="shared" ca="1" si="410"/>
        <v>18.359845853045766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-0.48066186583266202</v>
      </c>
      <c r="AH941" s="304">
        <f t="shared" ca="1" si="434"/>
        <v>-10.289661589583654</v>
      </c>
    </row>
    <row r="942" spans="1:34" x14ac:dyDescent="0.2">
      <c r="A942" s="347">
        <f t="shared" ca="1" si="412"/>
        <v>1E-4</v>
      </c>
      <c r="B942" s="304">
        <f t="shared" ca="1" si="413"/>
        <v>58.028500000001486</v>
      </c>
      <c r="D942" s="306">
        <f t="shared" ca="1" si="414"/>
        <v>-0.14693542833174286</v>
      </c>
      <c r="E942" s="307">
        <f t="shared" ca="1" si="415"/>
        <v>0.47861392528594315</v>
      </c>
      <c r="F942" s="304">
        <f t="shared" ca="1" si="416"/>
        <v>0.50066087282376193</v>
      </c>
      <c r="G942" s="306">
        <f t="shared" ca="1" si="417"/>
        <v>1.5082151094194223</v>
      </c>
      <c r="H942" s="307">
        <f t="shared" ca="1" si="418"/>
        <v>-105.60820693100479</v>
      </c>
      <c r="I942" s="304">
        <f t="shared" ca="1" si="419"/>
        <v>105.61897596548741</v>
      </c>
      <c r="J942" s="306">
        <f t="shared" ca="1" si="420"/>
        <v>809.6451793302748</v>
      </c>
      <c r="K942" s="307">
        <f t="shared" ca="1" si="421"/>
        <v>-8.7976077561365855</v>
      </c>
      <c r="L942" s="304">
        <f t="shared" ca="1" si="406"/>
        <v>809.6929753400259</v>
      </c>
      <c r="M942" s="306">
        <f t="shared" ca="1" si="422"/>
        <v>-1.5565160674237404</v>
      </c>
      <c r="N942" s="304">
        <f t="shared" ca="1" si="423"/>
        <v>-89.181801407680609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1.7842999999999964</v>
      </c>
      <c r="T942" s="304">
        <f t="shared" ca="1" si="407"/>
        <v>17.503982999999966</v>
      </c>
      <c r="U942" s="311">
        <f t="shared" ca="1" si="408"/>
        <v>0</v>
      </c>
      <c r="V942" s="306">
        <f t="shared" ca="1" si="409"/>
        <v>1.2260781812209003</v>
      </c>
      <c r="W942" s="304">
        <f t="shared" ca="1" si="410"/>
        <v>18.359848531729895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-0.48066334854233261</v>
      </c>
      <c r="AH942" s="304">
        <f t="shared" ca="1" si="434"/>
        <v>-10.289663090873621</v>
      </c>
    </row>
    <row r="943" spans="1:34" x14ac:dyDescent="0.2">
      <c r="A943" s="347">
        <f t="shared" ca="1" si="412"/>
        <v>1E-4</v>
      </c>
      <c r="B943" s="304">
        <f t="shared" ca="1" si="413"/>
        <v>58.028600000001489</v>
      </c>
      <c r="D943" s="306">
        <f t="shared" ca="1" si="414"/>
        <v>-0.14693408515694353</v>
      </c>
      <c r="E943" s="307">
        <f t="shared" ca="1" si="415"/>
        <v>0.47861544587341065</v>
      </c>
      <c r="F943" s="304">
        <f t="shared" ca="1" si="416"/>
        <v>0.50066193225520117</v>
      </c>
      <c r="G943" s="306">
        <f t="shared" ca="1" si="417"/>
        <v>1.5082004160109066</v>
      </c>
      <c r="H943" s="307">
        <f t="shared" ca="1" si="418"/>
        <v>-105.6081590694602</v>
      </c>
      <c r="I943" s="304">
        <f t="shared" ca="1" si="419"/>
        <v>105.61892789900523</v>
      </c>
      <c r="J943" s="306">
        <f t="shared" ca="1" si="420"/>
        <v>809.6451793302748</v>
      </c>
      <c r="K943" s="307">
        <f t="shared" ca="1" si="421"/>
        <v>-8.8081685744366087</v>
      </c>
      <c r="L943" s="304">
        <f t="shared" ca="1" si="406"/>
        <v>809.69309015600993</v>
      </c>
      <c r="M943" s="306">
        <f t="shared" ca="1" si="422"/>
        <v>-1.5565162000558226</v>
      </c>
      <c r="N943" s="304">
        <f t="shared" ca="1" si="423"/>
        <v>-89.181809006939147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1.7842999999999964</v>
      </c>
      <c r="T943" s="304">
        <f t="shared" ca="1" si="407"/>
        <v>17.503982999999966</v>
      </c>
      <c r="U943" s="311">
        <f t="shared" ca="1" si="408"/>
        <v>0</v>
      </c>
      <c r="V943" s="306">
        <f t="shared" ca="1" si="409"/>
        <v>1.2260794760607243</v>
      </c>
      <c r="W943" s="304">
        <f t="shared" ca="1" si="410"/>
        <v>18.359851210346502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-0.4806648312144759</v>
      </c>
      <c r="AH943" s="304">
        <f t="shared" ca="1" si="434"/>
        <v>-10.289664592125725</v>
      </c>
    </row>
    <row r="944" spans="1:34" x14ac:dyDescent="0.2">
      <c r="A944" s="347">
        <f t="shared" ca="1" si="412"/>
        <v>1E-4</v>
      </c>
      <c r="B944" s="304">
        <f t="shared" ca="1" si="413"/>
        <v>58.028700000001493</v>
      </c>
      <c r="D944" s="306">
        <f t="shared" ca="1" si="414"/>
        <v>-0.14693274199325398</v>
      </c>
      <c r="E944" s="307">
        <f t="shared" ca="1" si="415"/>
        <v>0.47861696642269536</v>
      </c>
      <c r="F944" s="304">
        <f t="shared" ca="1" si="416"/>
        <v>0.50066299165937922</v>
      </c>
      <c r="G944" s="306">
        <f t="shared" ca="1" si="417"/>
        <v>1.5081857227367073</v>
      </c>
      <c r="H944" s="307">
        <f t="shared" ca="1" si="418"/>
        <v>-105.60811120776356</v>
      </c>
      <c r="I944" s="304">
        <f t="shared" ca="1" si="419"/>
        <v>105.61887983237476</v>
      </c>
      <c r="J944" s="306">
        <f t="shared" ca="1" si="420"/>
        <v>809.6451793302748</v>
      </c>
      <c r="K944" s="307">
        <f t="shared" ca="1" si="421"/>
        <v>-8.8187293879504693</v>
      </c>
      <c r="L944" s="304">
        <f t="shared" ca="1" si="406"/>
        <v>809.69320510967032</v>
      </c>
      <c r="M944" s="306">
        <f t="shared" ca="1" si="422"/>
        <v>-1.5565163326867333</v>
      </c>
      <c r="N944" s="304">
        <f t="shared" ca="1" si="423"/>
        <v>-89.181816606130567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1.7842999999999964</v>
      </c>
      <c r="T944" s="304">
        <f t="shared" ca="1" si="407"/>
        <v>17.503982999999966</v>
      </c>
      <c r="U944" s="311">
        <f t="shared" ca="1" si="408"/>
        <v>0</v>
      </c>
      <c r="V944" s="306">
        <f t="shared" ca="1" si="409"/>
        <v>1.2260807709013293</v>
      </c>
      <c r="W944" s="304">
        <f t="shared" ca="1" si="410"/>
        <v>18.359853888895557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-0.48066631384911318</v>
      </c>
      <c r="AH944" s="304">
        <f t="shared" ca="1" si="434"/>
        <v>-10.289666093339987</v>
      </c>
    </row>
    <row r="945" spans="1:34" x14ac:dyDescent="0.2">
      <c r="A945" s="347">
        <f t="shared" ca="1" si="412"/>
        <v>1E-4</v>
      </c>
      <c r="B945" s="304">
        <f t="shared" ca="1" si="413"/>
        <v>58.028800000001496</v>
      </c>
      <c r="D945" s="306">
        <f t="shared" ca="1" si="414"/>
        <v>-0.14693139884067624</v>
      </c>
      <c r="E945" s="307">
        <f t="shared" ca="1" si="415"/>
        <v>0.47861848693377418</v>
      </c>
      <c r="F945" s="304">
        <f t="shared" ca="1" si="416"/>
        <v>0.50066405103627443</v>
      </c>
      <c r="G945" s="306">
        <f t="shared" ca="1" si="417"/>
        <v>1.5081710295968231</v>
      </c>
      <c r="H945" s="307">
        <f t="shared" ca="1" si="418"/>
        <v>-105.60806334591486</v>
      </c>
      <c r="I945" s="304">
        <f t="shared" ca="1" si="419"/>
        <v>105.61883176559604</v>
      </c>
      <c r="J945" s="306">
        <f t="shared" ca="1" si="420"/>
        <v>809.6451793302748</v>
      </c>
      <c r="K945" s="307">
        <f t="shared" ca="1" si="421"/>
        <v>-8.8292901966781532</v>
      </c>
      <c r="L945" s="304">
        <f t="shared" ca="1" si="406"/>
        <v>809.69332020100671</v>
      </c>
      <c r="M945" s="306">
        <f t="shared" ca="1" si="422"/>
        <v>-1.5565164653164725</v>
      </c>
      <c r="N945" s="304">
        <f t="shared" ca="1" si="423"/>
        <v>-89.181824205254856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1.7842999999999964</v>
      </c>
      <c r="T945" s="304">
        <f t="shared" ca="1" si="407"/>
        <v>17.503982999999966</v>
      </c>
      <c r="U945" s="311">
        <f t="shared" ca="1" si="408"/>
        <v>0</v>
      </c>
      <c r="V945" s="306">
        <f t="shared" ca="1" si="409"/>
        <v>1.2260820657427158</v>
      </c>
      <c r="W945" s="304">
        <f t="shared" ca="1" si="410"/>
        <v>18.35985656737709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-0.48066779644623026</v>
      </c>
      <c r="AH945" s="304">
        <f t="shared" ca="1" si="434"/>
        <v>-10.28966759451639</v>
      </c>
    </row>
    <row r="946" spans="1:34" x14ac:dyDescent="0.2">
      <c r="A946" s="347">
        <f t="shared" ca="1" si="412"/>
        <v>1E-4</v>
      </c>
      <c r="B946" s="304">
        <f t="shared" ca="1" si="413"/>
        <v>58.028900000001499</v>
      </c>
      <c r="D946" s="306">
        <f t="shared" ca="1" si="414"/>
        <v>-0.14693005569921058</v>
      </c>
      <c r="E946" s="307">
        <f t="shared" ca="1" si="415"/>
        <v>0.47862000740666666</v>
      </c>
      <c r="F946" s="304">
        <f t="shared" ca="1" si="416"/>
        <v>0.50066511038590533</v>
      </c>
      <c r="G946" s="306">
        <f t="shared" ca="1" si="417"/>
        <v>1.5081563365912531</v>
      </c>
      <c r="H946" s="307">
        <f t="shared" ca="1" si="418"/>
        <v>-105.60801548391412</v>
      </c>
      <c r="I946" s="304">
        <f t="shared" ca="1" si="419"/>
        <v>105.61878369866906</v>
      </c>
      <c r="J946" s="306">
        <f t="shared" ca="1" si="420"/>
        <v>809.6451793302748</v>
      </c>
      <c r="K946" s="307">
        <f t="shared" ca="1" si="421"/>
        <v>-8.8398510006196442</v>
      </c>
      <c r="L946" s="304">
        <f t="shared" ca="1" si="406"/>
        <v>809.69343543001878</v>
      </c>
      <c r="M946" s="306">
        <f t="shared" ca="1" si="422"/>
        <v>-1.5565165979450404</v>
      </c>
      <c r="N946" s="304">
        <f t="shared" ca="1" si="423"/>
        <v>-89.18183180431204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1.7842999999999964</v>
      </c>
      <c r="T946" s="304">
        <f t="shared" ca="1" si="407"/>
        <v>17.503982999999966</v>
      </c>
      <c r="U946" s="311">
        <f t="shared" ca="1" si="408"/>
        <v>0</v>
      </c>
      <c r="V946" s="306">
        <f t="shared" ca="1" si="409"/>
        <v>1.2260833605848835</v>
      </c>
      <c r="W946" s="304">
        <f t="shared" ca="1" si="410"/>
        <v>18.359859245791078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-0.48066927900583778</v>
      </c>
      <c r="AH946" s="304">
        <f t="shared" ca="1" si="434"/>
        <v>-10.289669095654949</v>
      </c>
    </row>
    <row r="947" spans="1:34" x14ac:dyDescent="0.2">
      <c r="A947" s="347">
        <f t="shared" ca="1" si="412"/>
        <v>1E-4</v>
      </c>
      <c r="B947" s="304">
        <f t="shared" ca="1" si="413"/>
        <v>58.029000000001503</v>
      </c>
      <c r="D947" s="306">
        <f t="shared" ca="1" si="414"/>
        <v>-0.14692871256885456</v>
      </c>
      <c r="E947" s="307">
        <f t="shared" ca="1" si="415"/>
        <v>0.47862152784136214</v>
      </c>
      <c r="F947" s="304">
        <f t="shared" ca="1" si="416"/>
        <v>0.50066616970826061</v>
      </c>
      <c r="G947" s="306">
        <f t="shared" ca="1" si="417"/>
        <v>1.5081416437199961</v>
      </c>
      <c r="H947" s="307">
        <f t="shared" ca="1" si="418"/>
        <v>-105.60796762176133</v>
      </c>
      <c r="I947" s="304">
        <f t="shared" ca="1" si="419"/>
        <v>105.61873563159385</v>
      </c>
      <c r="J947" s="306">
        <f t="shared" ca="1" si="420"/>
        <v>809.6451793302748</v>
      </c>
      <c r="K947" s="307">
        <f t="shared" ca="1" si="421"/>
        <v>-8.8504117997749283</v>
      </c>
      <c r="L947" s="304">
        <f t="shared" ca="1" si="406"/>
        <v>809.69355079670629</v>
      </c>
      <c r="M947" s="306">
        <f t="shared" ca="1" si="422"/>
        <v>-1.556516730572437</v>
      </c>
      <c r="N947" s="304">
        <f t="shared" ca="1" si="423"/>
        <v>-89.181839403302121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1.7842999999999964</v>
      </c>
      <c r="T947" s="304">
        <f t="shared" ca="1" si="407"/>
        <v>17.503982999999966</v>
      </c>
      <c r="U947" s="311">
        <f t="shared" ca="1" si="408"/>
        <v>0</v>
      </c>
      <c r="V947" s="306">
        <f t="shared" ca="1" si="409"/>
        <v>1.2260846554278324</v>
      </c>
      <c r="W947" s="304">
        <f t="shared" ca="1" si="410"/>
        <v>18.35986192413754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-0.4806707615279322</v>
      </c>
      <c r="AH947" s="304">
        <f t="shared" ca="1" si="434"/>
        <v>-10.289670596755656</v>
      </c>
    </row>
    <row r="948" spans="1:34" x14ac:dyDescent="0.2">
      <c r="A948" s="347">
        <f t="shared" ca="1" si="412"/>
        <v>1E-4</v>
      </c>
      <c r="B948" s="304">
        <f t="shared" ca="1" si="413"/>
        <v>58.029100000001506</v>
      </c>
      <c r="D948" s="306">
        <f t="shared" ca="1" si="414"/>
        <v>-0.14692736944960832</v>
      </c>
      <c r="E948" s="307">
        <f t="shared" ca="1" si="415"/>
        <v>0.4786230482378695</v>
      </c>
      <c r="F948" s="304">
        <f t="shared" ca="1" si="416"/>
        <v>0.5006672290033487</v>
      </c>
      <c r="G948" s="306">
        <f t="shared" ca="1" si="417"/>
        <v>1.5081269509830513</v>
      </c>
      <c r="H948" s="307">
        <f t="shared" ca="1" si="418"/>
        <v>-105.60791975945651</v>
      </c>
      <c r="I948" s="304">
        <f t="shared" ca="1" si="419"/>
        <v>105.61868756437038</v>
      </c>
      <c r="J948" s="306">
        <f t="shared" ca="1" si="420"/>
        <v>809.6451793302748</v>
      </c>
      <c r="K948" s="307">
        <f t="shared" ca="1" si="421"/>
        <v>-8.8609725941439894</v>
      </c>
      <c r="L948" s="304">
        <f t="shared" ca="1" si="406"/>
        <v>809.69366630106913</v>
      </c>
      <c r="M948" s="306">
        <f t="shared" ca="1" si="422"/>
        <v>-1.5565168631986621</v>
      </c>
      <c r="N948" s="304">
        <f t="shared" ca="1" si="423"/>
        <v>-89.181847002225069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1.7842999999999964</v>
      </c>
      <c r="T948" s="304">
        <f t="shared" ca="1" si="407"/>
        <v>17.503982999999966</v>
      </c>
      <c r="U948" s="311">
        <f t="shared" ca="1" si="408"/>
        <v>0</v>
      </c>
      <c r="V948" s="306">
        <f t="shared" ca="1" si="409"/>
        <v>1.2260859502715622</v>
      </c>
      <c r="W948" s="304">
        <f t="shared" ca="1" si="410"/>
        <v>18.359864602416458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-0.48067224401251352</v>
      </c>
      <c r="AH948" s="304">
        <f t="shared" ca="1" si="434"/>
        <v>-10.289672097818515</v>
      </c>
    </row>
    <row r="949" spans="1:34" x14ac:dyDescent="0.2">
      <c r="A949" s="347">
        <f t="shared" ca="1" si="412"/>
        <v>1E-4</v>
      </c>
      <c r="B949" s="304">
        <f t="shared" ca="1" si="413"/>
        <v>58.029200000001509</v>
      </c>
      <c r="D949" s="306">
        <f t="shared" ca="1" si="414"/>
        <v>-0.14692602634147406</v>
      </c>
      <c r="E949" s="307">
        <f t="shared" ca="1" si="415"/>
        <v>0.47862456859617808</v>
      </c>
      <c r="F949" s="304">
        <f t="shared" ca="1" si="416"/>
        <v>0.50066828827115972</v>
      </c>
      <c r="G949" s="306">
        <f t="shared" ca="1" si="417"/>
        <v>1.5081122583804172</v>
      </c>
      <c r="H949" s="307">
        <f t="shared" ca="1" si="418"/>
        <v>-105.60787189699965</v>
      </c>
      <c r="I949" s="304">
        <f t="shared" ca="1" si="419"/>
        <v>105.61863949699865</v>
      </c>
      <c r="J949" s="306">
        <f t="shared" ca="1" si="420"/>
        <v>809.6451793302748</v>
      </c>
      <c r="K949" s="307">
        <f t="shared" ca="1" si="421"/>
        <v>-8.8715333837268116</v>
      </c>
      <c r="L949" s="304">
        <f t="shared" ca="1" si="406"/>
        <v>809.69378194310684</v>
      </c>
      <c r="M949" s="306">
        <f t="shared" ca="1" si="422"/>
        <v>-1.5565169958237157</v>
      </c>
      <c r="N949" s="304">
        <f t="shared" ca="1" si="423"/>
        <v>-89.1818546010809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1.7842999999999964</v>
      </c>
      <c r="T949" s="304">
        <f t="shared" ca="1" si="407"/>
        <v>17.503982999999966</v>
      </c>
      <c r="U949" s="311">
        <f t="shared" ca="1" si="408"/>
        <v>0</v>
      </c>
      <c r="V949" s="306">
        <f t="shared" ca="1" si="409"/>
        <v>1.226087245116074</v>
      </c>
      <c r="W949" s="304">
        <f t="shared" ca="1" si="410"/>
        <v>18.359867280627853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-0.48067372645957818</v>
      </c>
      <c r="AH949" s="304">
        <f t="shared" ca="1" si="434"/>
        <v>-10.289673598843521</v>
      </c>
    </row>
    <row r="950" spans="1:34" x14ac:dyDescent="0.2">
      <c r="A950" s="347">
        <f t="shared" ca="1" si="412"/>
        <v>1E-4</v>
      </c>
      <c r="B950" s="304">
        <f t="shared" ca="1" si="413"/>
        <v>58.029300000001513</v>
      </c>
      <c r="D950" s="306">
        <f t="shared" ca="1" si="414"/>
        <v>-0.14692468324445193</v>
      </c>
      <c r="E950" s="307">
        <f t="shared" ca="1" si="415"/>
        <v>0.47862608891629854</v>
      </c>
      <c r="F950" s="304">
        <f t="shared" ca="1" si="416"/>
        <v>0.50066934751170367</v>
      </c>
      <c r="G950" s="306">
        <f t="shared" ca="1" si="417"/>
        <v>1.5080975659120928</v>
      </c>
      <c r="H950" s="307">
        <f t="shared" ca="1" si="418"/>
        <v>-105.60782403439076</v>
      </c>
      <c r="I950" s="304">
        <f t="shared" ca="1" si="419"/>
        <v>105.6185914294787</v>
      </c>
      <c r="J950" s="306">
        <f t="shared" ca="1" si="420"/>
        <v>809.6451793302748</v>
      </c>
      <c r="K950" s="307">
        <f t="shared" ca="1" si="421"/>
        <v>-8.8820941685233805</v>
      </c>
      <c r="L950" s="304">
        <f t="shared" ca="1" si="406"/>
        <v>809.69389772281932</v>
      </c>
      <c r="M950" s="306">
        <f t="shared" ca="1" si="422"/>
        <v>-1.5565171284475983</v>
      </c>
      <c r="N950" s="304">
        <f t="shared" ca="1" si="423"/>
        <v>-89.181862199869627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1.7842999999999964</v>
      </c>
      <c r="T950" s="304">
        <f t="shared" ca="1" si="407"/>
        <v>17.503982999999966</v>
      </c>
      <c r="U950" s="311">
        <f t="shared" ca="1" si="408"/>
        <v>0</v>
      </c>
      <c r="V950" s="306">
        <f t="shared" ca="1" si="409"/>
        <v>1.2260885399613661</v>
      </c>
      <c r="W950" s="304">
        <f t="shared" ca="1" si="410"/>
        <v>18.359869958771704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-0.48067520886913861</v>
      </c>
      <c r="AH950" s="304">
        <f t="shared" ca="1" si="434"/>
        <v>-10.289675099830683</v>
      </c>
    </row>
    <row r="951" spans="1:34" x14ac:dyDescent="0.2">
      <c r="A951" s="347">
        <f t="shared" ca="1" si="412"/>
        <v>1E-4</v>
      </c>
      <c r="B951" s="304">
        <f t="shared" ca="1" si="413"/>
        <v>58.029400000001516</v>
      </c>
      <c r="D951" s="306">
        <f t="shared" ca="1" si="414"/>
        <v>-0.14692334015853728</v>
      </c>
      <c r="E951" s="307">
        <f t="shared" ca="1" si="415"/>
        <v>0.47862760919822378</v>
      </c>
      <c r="F951" s="304">
        <f t="shared" ca="1" si="416"/>
        <v>0.50067040672497198</v>
      </c>
      <c r="G951" s="306">
        <f t="shared" ca="1" si="417"/>
        <v>1.5080828735780769</v>
      </c>
      <c r="H951" s="307">
        <f t="shared" ca="1" si="418"/>
        <v>-105.60777617162984</v>
      </c>
      <c r="I951" s="304">
        <f t="shared" ca="1" si="419"/>
        <v>105.61854336181051</v>
      </c>
      <c r="J951" s="306">
        <f t="shared" ca="1" si="420"/>
        <v>809.6451793302748</v>
      </c>
      <c r="K951" s="307">
        <f t="shared" ca="1" si="421"/>
        <v>-8.8926549485336821</v>
      </c>
      <c r="L951" s="304">
        <f t="shared" ca="1" si="406"/>
        <v>809.69401364020632</v>
      </c>
      <c r="M951" s="306">
        <f t="shared" ca="1" si="422"/>
        <v>-1.5565172610703093</v>
      </c>
      <c r="N951" s="304">
        <f t="shared" ca="1" si="423"/>
        <v>-89.181869798591237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1.7842999999999964</v>
      </c>
      <c r="T951" s="304">
        <f t="shared" ca="1" si="407"/>
        <v>17.503982999999966</v>
      </c>
      <c r="U951" s="311">
        <f t="shared" ca="1" si="408"/>
        <v>0</v>
      </c>
      <c r="V951" s="306">
        <f t="shared" ca="1" si="409"/>
        <v>1.22608983480744</v>
      </c>
      <c r="W951" s="304">
        <f t="shared" ca="1" si="410"/>
        <v>18.359872636848042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-0.48067669124118062</v>
      </c>
      <c r="AH951" s="304">
        <f t="shared" ca="1" si="434"/>
        <v>-10.289676600779993</v>
      </c>
    </row>
    <row r="952" spans="1:34" x14ac:dyDescent="0.2">
      <c r="A952" s="347">
        <f t="shared" ca="1" si="412"/>
        <v>1E-4</v>
      </c>
      <c r="B952" s="304">
        <f t="shared" ca="1" si="413"/>
        <v>58.029500000001519</v>
      </c>
      <c r="D952" s="306">
        <f t="shared" ca="1" si="414"/>
        <v>-0.14692199708373491</v>
      </c>
      <c r="E952" s="307">
        <f t="shared" ca="1" si="415"/>
        <v>0.478629129441968</v>
      </c>
      <c r="F952" s="304">
        <f t="shared" ca="1" si="416"/>
        <v>0.50067146591097955</v>
      </c>
      <c r="G952" s="306">
        <f t="shared" ca="1" si="417"/>
        <v>1.5080681813783685</v>
      </c>
      <c r="H952" s="307">
        <f t="shared" ca="1" si="418"/>
        <v>-105.60772830871689</v>
      </c>
      <c r="I952" s="304">
        <f t="shared" ca="1" si="419"/>
        <v>105.61849529399407</v>
      </c>
      <c r="J952" s="306">
        <f t="shared" ca="1" si="420"/>
        <v>809.6451793302748</v>
      </c>
      <c r="K952" s="307">
        <f t="shared" ca="1" si="421"/>
        <v>-8.9032157237577003</v>
      </c>
      <c r="L952" s="304">
        <f t="shared" ca="1" si="406"/>
        <v>809.69412969526752</v>
      </c>
      <c r="M952" s="306">
        <f t="shared" ca="1" si="422"/>
        <v>-1.556517393691849</v>
      </c>
      <c r="N952" s="304">
        <f t="shared" ca="1" si="423"/>
        <v>-89.181877397245742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1.7842999999999964</v>
      </c>
      <c r="T952" s="304">
        <f t="shared" ca="1" si="407"/>
        <v>17.503982999999966</v>
      </c>
      <c r="U952" s="311">
        <f t="shared" ca="1" si="408"/>
        <v>0</v>
      </c>
      <c r="V952" s="306">
        <f t="shared" ca="1" si="409"/>
        <v>1.2260911296542949</v>
      </c>
      <c r="W952" s="304">
        <f t="shared" ca="1" si="410"/>
        <v>18.359875314856836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-0.48067817357572018</v>
      </c>
      <c r="AH952" s="304">
        <f t="shared" ca="1" si="434"/>
        <v>-10.289678101691464</v>
      </c>
    </row>
    <row r="953" spans="1:34" x14ac:dyDescent="0.2">
      <c r="A953" s="347">
        <f t="shared" ca="1" si="412"/>
        <v>1E-4</v>
      </c>
      <c r="B953" s="304">
        <f t="shared" ca="1" si="413"/>
        <v>58.029600000001523</v>
      </c>
      <c r="D953" s="306">
        <f t="shared" ca="1" si="414"/>
        <v>-0.14692065402004223</v>
      </c>
      <c r="E953" s="307">
        <f t="shared" ca="1" si="415"/>
        <v>0.47863064964751167</v>
      </c>
      <c r="F953" s="304">
        <f t="shared" ca="1" si="416"/>
        <v>0.50067252506970661</v>
      </c>
      <c r="G953" s="306">
        <f t="shared" ca="1" si="417"/>
        <v>1.5080534893129665</v>
      </c>
      <c r="H953" s="307">
        <f t="shared" ca="1" si="418"/>
        <v>-105.60768044565192</v>
      </c>
      <c r="I953" s="304">
        <f t="shared" ca="1" si="419"/>
        <v>105.61844722602942</v>
      </c>
      <c r="J953" s="306">
        <f t="shared" ca="1" si="420"/>
        <v>809.6451793302748</v>
      </c>
      <c r="K953" s="307">
        <f t="shared" ca="1" si="421"/>
        <v>-8.9137764941954192</v>
      </c>
      <c r="L953" s="304">
        <f t="shared" ca="1" si="406"/>
        <v>809.69424588800268</v>
      </c>
      <c r="M953" s="306">
        <f t="shared" ca="1" si="422"/>
        <v>-1.5565175263122175</v>
      </c>
      <c r="N953" s="304">
        <f t="shared" ca="1" si="423"/>
        <v>-89.18188499583313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1.7842999999999964</v>
      </c>
      <c r="T953" s="304">
        <f t="shared" ca="1" si="407"/>
        <v>17.503982999999966</v>
      </c>
      <c r="U953" s="311">
        <f t="shared" ca="1" si="408"/>
        <v>0</v>
      </c>
      <c r="V953" s="306">
        <f t="shared" ca="1" si="409"/>
        <v>1.2260924245019313</v>
      </c>
      <c r="W953" s="304">
        <f t="shared" ca="1" si="410"/>
        <v>18.359877992798115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-0.48067965587274308</v>
      </c>
      <c r="AH953" s="304">
        <f t="shared" ca="1" si="434"/>
        <v>-10.28967960256508</v>
      </c>
    </row>
    <row r="954" spans="1:34" x14ac:dyDescent="0.2">
      <c r="A954" s="347">
        <f t="shared" ca="1" si="412"/>
        <v>1E-4</v>
      </c>
      <c r="B954" s="304">
        <f t="shared" ca="1" si="413"/>
        <v>58.029700000001526</v>
      </c>
      <c r="D954" s="306">
        <f t="shared" ca="1" si="414"/>
        <v>-0.14691931096745961</v>
      </c>
      <c r="E954" s="307">
        <f t="shared" ca="1" si="415"/>
        <v>0.47863216981487433</v>
      </c>
      <c r="F954" s="304">
        <f t="shared" ca="1" si="416"/>
        <v>0.5006735842011717</v>
      </c>
      <c r="G954" s="306">
        <f t="shared" ca="1" si="417"/>
        <v>1.5080387973818696</v>
      </c>
      <c r="H954" s="307">
        <f t="shared" ca="1" si="418"/>
        <v>-105.60763258243495</v>
      </c>
      <c r="I954" s="304">
        <f t="shared" ca="1" si="419"/>
        <v>105.61839915791654</v>
      </c>
      <c r="J954" s="306">
        <f t="shared" ca="1" si="420"/>
        <v>809.6451793302748</v>
      </c>
      <c r="K954" s="307">
        <f t="shared" ca="1" si="421"/>
        <v>-8.9243372598468227</v>
      </c>
      <c r="L954" s="304">
        <f t="shared" ca="1" si="406"/>
        <v>809.69436221841158</v>
      </c>
      <c r="M954" s="306">
        <f t="shared" ca="1" si="422"/>
        <v>-1.5565176589314145</v>
      </c>
      <c r="N954" s="304">
        <f t="shared" ca="1" si="423"/>
        <v>-89.1818925943534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1.7842999999999964</v>
      </c>
      <c r="T954" s="304">
        <f t="shared" ca="1" si="407"/>
        <v>17.503982999999966</v>
      </c>
      <c r="U954" s="311">
        <f t="shared" ca="1" si="408"/>
        <v>0</v>
      </c>
      <c r="V954" s="306">
        <f t="shared" ca="1" si="409"/>
        <v>1.2260937193503489</v>
      </c>
      <c r="W954" s="304">
        <f t="shared" ca="1" si="410"/>
        <v>18.359880670671867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-0.48068113813226176</v>
      </c>
      <c r="AH954" s="304">
        <f t="shared" ca="1" si="434"/>
        <v>-10.289681103400858</v>
      </c>
    </row>
    <row r="955" spans="1:34" x14ac:dyDescent="0.2">
      <c r="A955" s="347">
        <f t="shared" ca="1" si="412"/>
        <v>1E-4</v>
      </c>
      <c r="B955" s="304">
        <f t="shared" ca="1" si="413"/>
        <v>58.029800000001529</v>
      </c>
      <c r="D955" s="306">
        <f t="shared" ca="1" si="414"/>
        <v>-0.14691796792598924</v>
      </c>
      <c r="E955" s="307">
        <f t="shared" ca="1" si="415"/>
        <v>0.47863368994405064</v>
      </c>
      <c r="F955" s="304">
        <f t="shared" ca="1" si="416"/>
        <v>0.50067464330537015</v>
      </c>
      <c r="G955" s="306">
        <f t="shared" ca="1" si="417"/>
        <v>1.5080241055850769</v>
      </c>
      <c r="H955" s="307">
        <f t="shared" ca="1" si="418"/>
        <v>-105.60758471906595</v>
      </c>
      <c r="I955" s="304">
        <f t="shared" ca="1" si="419"/>
        <v>105.61835108965542</v>
      </c>
      <c r="J955" s="306">
        <f t="shared" ca="1" si="420"/>
        <v>809.6451793302748</v>
      </c>
      <c r="K955" s="307">
        <f t="shared" ca="1" si="421"/>
        <v>-8.9348980207118984</v>
      </c>
      <c r="L955" s="304">
        <f t="shared" ca="1" si="406"/>
        <v>809.69447868649399</v>
      </c>
      <c r="M955" s="306">
        <f t="shared" ca="1" si="422"/>
        <v>-1.5565177915494404</v>
      </c>
      <c r="N955" s="304">
        <f t="shared" ca="1" si="423"/>
        <v>-89.181900192806566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1.7842999999999964</v>
      </c>
      <c r="T955" s="304">
        <f t="shared" ca="1" si="407"/>
        <v>17.503982999999966</v>
      </c>
      <c r="U955" s="311">
        <f t="shared" ca="1" si="408"/>
        <v>0</v>
      </c>
      <c r="V955" s="306">
        <f t="shared" ca="1" si="409"/>
        <v>1.2260950141995473</v>
      </c>
      <c r="W955" s="304">
        <f t="shared" ca="1" si="410"/>
        <v>18.359883348478078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-0.48068262035427622</v>
      </c>
      <c r="AH955" s="304">
        <f t="shared" ca="1" si="434"/>
        <v>-10.289682604198791</v>
      </c>
    </row>
    <row r="956" spans="1:34" x14ac:dyDescent="0.2">
      <c r="A956" s="347">
        <f t="shared" ca="1" si="412"/>
        <v>1E-4</v>
      </c>
      <c r="B956" s="304">
        <f t="shared" ca="1" si="413"/>
        <v>58.029900000001533</v>
      </c>
      <c r="D956" s="306">
        <f t="shared" ca="1" si="414"/>
        <v>-0.1469166248956264</v>
      </c>
      <c r="E956" s="307">
        <f t="shared" ca="1" si="415"/>
        <v>0.4786352100350264</v>
      </c>
      <c r="F956" s="304">
        <f t="shared" ca="1" si="416"/>
        <v>0.50067570238228665</v>
      </c>
      <c r="G956" s="306">
        <f t="shared" ca="1" si="417"/>
        <v>1.5080094139225875</v>
      </c>
      <c r="H956" s="307">
        <f t="shared" ca="1" si="418"/>
        <v>-105.60753685554495</v>
      </c>
      <c r="I956" s="304">
        <f t="shared" ca="1" si="419"/>
        <v>105.61830302124611</v>
      </c>
      <c r="J956" s="306">
        <f t="shared" ca="1" si="420"/>
        <v>809.6451793302748</v>
      </c>
      <c r="K956" s="307">
        <f t="shared" ca="1" si="421"/>
        <v>-8.9454587767906286</v>
      </c>
      <c r="L956" s="304">
        <f t="shared" ca="1" si="406"/>
        <v>809.69459529224969</v>
      </c>
      <c r="M956" s="306">
        <f t="shared" ca="1" si="422"/>
        <v>-1.5565179241662948</v>
      </c>
      <c r="N956" s="304">
        <f t="shared" ca="1" si="423"/>
        <v>-89.181907791192614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1.7842999999999964</v>
      </c>
      <c r="T956" s="304">
        <f t="shared" ca="1" si="407"/>
        <v>17.503982999999966</v>
      </c>
      <c r="U956" s="311">
        <f t="shared" ca="1" si="408"/>
        <v>0</v>
      </c>
      <c r="V956" s="306">
        <f t="shared" ca="1" si="409"/>
        <v>1.2260963090495274</v>
      </c>
      <c r="W956" s="304">
        <f t="shared" ca="1" si="410"/>
        <v>18.359886026216781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-0.48068410253877047</v>
      </c>
      <c r="AH956" s="304">
        <f t="shared" ca="1" si="434"/>
        <v>-10.289684104958871</v>
      </c>
    </row>
    <row r="957" spans="1:34" x14ac:dyDescent="0.2">
      <c r="A957" s="347">
        <f t="shared" ca="1" si="412"/>
        <v>1E-4</v>
      </c>
      <c r="B957" s="304">
        <f t="shared" ca="1" si="413"/>
        <v>58.030000000001536</v>
      </c>
      <c r="D957" s="306">
        <f t="shared" ca="1" si="414"/>
        <v>-0.14691528187637604</v>
      </c>
      <c r="E957" s="307">
        <f t="shared" ca="1" si="415"/>
        <v>0.47863673008783003</v>
      </c>
      <c r="F957" s="304">
        <f t="shared" ca="1" si="416"/>
        <v>0.5006767614319495</v>
      </c>
      <c r="G957" s="306">
        <f t="shared" ca="1" si="417"/>
        <v>1.5079947223943999</v>
      </c>
      <c r="H957" s="307">
        <f t="shared" ca="1" si="418"/>
        <v>-105.60748899187195</v>
      </c>
      <c r="I957" s="304">
        <f t="shared" ca="1" si="419"/>
        <v>105.61825495268856</v>
      </c>
      <c r="J957" s="306">
        <f t="shared" ca="1" si="420"/>
        <v>809.6451793302748</v>
      </c>
      <c r="K957" s="307">
        <f t="shared" ca="1" si="421"/>
        <v>-8.9560195280829991</v>
      </c>
      <c r="L957" s="304">
        <f t="shared" ca="1" si="406"/>
        <v>809.69471203567844</v>
      </c>
      <c r="M957" s="306">
        <f t="shared" ca="1" si="422"/>
        <v>-1.5565180567819779</v>
      </c>
      <c r="N957" s="304">
        <f t="shared" ca="1" si="423"/>
        <v>-89.181915389511559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1.7842999999999964</v>
      </c>
      <c r="T957" s="304">
        <f t="shared" ca="1" si="407"/>
        <v>17.503982999999966</v>
      </c>
      <c r="U957" s="311">
        <f t="shared" ca="1" si="408"/>
        <v>0</v>
      </c>
      <c r="V957" s="306">
        <f t="shared" ca="1" si="409"/>
        <v>1.2260976039002884</v>
      </c>
      <c r="W957" s="304">
        <f t="shared" ca="1" si="410"/>
        <v>18.359888703887954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-0.48068558468577116</v>
      </c>
      <c r="AH957" s="304">
        <f t="shared" ca="1" si="434"/>
        <v>-10.289685605681118</v>
      </c>
    </row>
    <row r="958" spans="1:34" x14ac:dyDescent="0.2">
      <c r="A958" s="347">
        <f t="shared" ca="1" si="412"/>
        <v>1E-4</v>
      </c>
      <c r="B958" s="304">
        <f t="shared" ca="1" si="413"/>
        <v>58.030100000001539</v>
      </c>
      <c r="D958" s="306">
        <f t="shared" ca="1" si="414"/>
        <v>-0.14691393886823556</v>
      </c>
      <c r="E958" s="307">
        <f t="shared" ca="1" si="415"/>
        <v>0.47863825010243843</v>
      </c>
      <c r="F958" s="304">
        <f t="shared" ca="1" si="416"/>
        <v>0.50067782045433573</v>
      </c>
      <c r="G958" s="306">
        <f t="shared" ca="1" si="417"/>
        <v>1.5079800310005131</v>
      </c>
      <c r="H958" s="307">
        <f t="shared" ca="1" si="418"/>
        <v>-105.60744112804693</v>
      </c>
      <c r="I958" s="304">
        <f t="shared" ca="1" si="419"/>
        <v>105.61820688398281</v>
      </c>
      <c r="J958" s="306">
        <f t="shared" ca="1" si="420"/>
        <v>809.6451793302748</v>
      </c>
      <c r="K958" s="307">
        <f t="shared" ca="1" si="421"/>
        <v>-8.9665802745889955</v>
      </c>
      <c r="L958" s="304">
        <f t="shared" ca="1" si="406"/>
        <v>809.6948289167799</v>
      </c>
      <c r="M958" s="306">
        <f t="shared" ca="1" si="422"/>
        <v>-1.5565181893964899</v>
      </c>
      <c r="N958" s="304">
        <f t="shared" ca="1" si="423"/>
        <v>-89.1819229877634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1.7842999999999964</v>
      </c>
      <c r="T958" s="304">
        <f t="shared" ca="1" si="407"/>
        <v>17.503982999999966</v>
      </c>
      <c r="U958" s="311">
        <f t="shared" ca="1" si="408"/>
        <v>0</v>
      </c>
      <c r="V958" s="306">
        <f t="shared" ca="1" si="409"/>
        <v>1.2260988987518306</v>
      </c>
      <c r="W958" s="304">
        <f t="shared" ca="1" si="410"/>
        <v>18.359891381491607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-0.48068706679525874</v>
      </c>
      <c r="AH958" s="304">
        <f t="shared" ca="1" si="434"/>
        <v>-10.289687106365516</v>
      </c>
    </row>
    <row r="959" spans="1:34" x14ac:dyDescent="0.2">
      <c r="A959" s="347">
        <f t="shared" ca="1" si="412"/>
        <v>1E-4</v>
      </c>
      <c r="B959" s="304">
        <f t="shared" ca="1" si="413"/>
        <v>58.030200000001543</v>
      </c>
      <c r="D959" s="306">
        <f t="shared" ca="1" si="414"/>
        <v>-0.14691259587120292</v>
      </c>
      <c r="E959" s="307">
        <f t="shared" ca="1" si="415"/>
        <v>0.47863977007886405</v>
      </c>
      <c r="F959" s="304">
        <f t="shared" ca="1" si="416"/>
        <v>0.50067887944945633</v>
      </c>
      <c r="G959" s="306">
        <f t="shared" ca="1" si="417"/>
        <v>1.5079653397409261</v>
      </c>
      <c r="H959" s="307">
        <f t="shared" ca="1" si="418"/>
        <v>-105.60739326406993</v>
      </c>
      <c r="I959" s="304">
        <f t="shared" ca="1" si="419"/>
        <v>105.61815881512887</v>
      </c>
      <c r="J959" s="306">
        <f t="shared" ca="1" si="420"/>
        <v>809.6451793302748</v>
      </c>
      <c r="K959" s="307">
        <f t="shared" ca="1" si="421"/>
        <v>-8.9771410163086021</v>
      </c>
      <c r="L959" s="304">
        <f t="shared" ca="1" si="406"/>
        <v>809.69494593555385</v>
      </c>
      <c r="M959" s="306">
        <f t="shared" ca="1" si="422"/>
        <v>-1.5565183220098304</v>
      </c>
      <c r="N959" s="304">
        <f t="shared" ca="1" si="423"/>
        <v>-89.181930585948109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1.7842999999999964</v>
      </c>
      <c r="T959" s="304">
        <f t="shared" ca="1" si="407"/>
        <v>17.503982999999966</v>
      </c>
      <c r="U959" s="311">
        <f t="shared" ca="1" si="408"/>
        <v>0</v>
      </c>
      <c r="V959" s="306">
        <f t="shared" ca="1" si="409"/>
        <v>1.2261001936041545</v>
      </c>
      <c r="W959" s="304">
        <f t="shared" ca="1" si="410"/>
        <v>18.359894059027749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-0.48068854886724033</v>
      </c>
      <c r="AH959" s="304">
        <f t="shared" ca="1" si="434"/>
        <v>-10.289688607012074</v>
      </c>
    </row>
    <row r="960" spans="1:34" x14ac:dyDescent="0.2">
      <c r="A960" s="347">
        <f t="shared" ca="1" si="412"/>
        <v>1E-4</v>
      </c>
      <c r="B960" s="304">
        <f t="shared" ca="1" si="413"/>
        <v>58.030300000001546</v>
      </c>
      <c r="D960" s="306">
        <f t="shared" ca="1" si="414"/>
        <v>-0.14691125288528276</v>
      </c>
      <c r="E960" s="307">
        <f t="shared" ca="1" si="415"/>
        <v>0.47864129001711042</v>
      </c>
      <c r="F960" s="304">
        <f t="shared" ca="1" si="416"/>
        <v>0.50067993841731573</v>
      </c>
      <c r="G960" s="306">
        <f t="shared" ca="1" si="417"/>
        <v>1.5079506486156375</v>
      </c>
      <c r="H960" s="307">
        <f t="shared" ca="1" si="418"/>
        <v>-105.60734539994093</v>
      </c>
      <c r="I960" s="304">
        <f t="shared" ca="1" si="419"/>
        <v>105.6181107461267</v>
      </c>
      <c r="J960" s="306">
        <f t="shared" ca="1" si="420"/>
        <v>809.6451793302748</v>
      </c>
      <c r="K960" s="307">
        <f t="shared" ca="1" si="421"/>
        <v>-8.9877017532418026</v>
      </c>
      <c r="L960" s="304">
        <f t="shared" ca="1" si="406"/>
        <v>809.69506309200005</v>
      </c>
      <c r="M960" s="306">
        <f t="shared" ca="1" si="422"/>
        <v>-1.5565184546219999</v>
      </c>
      <c r="N960" s="304">
        <f t="shared" ca="1" si="423"/>
        <v>-89.181938184065743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1.7842999999999964</v>
      </c>
      <c r="T960" s="304">
        <f t="shared" ca="1" si="407"/>
        <v>17.503982999999966</v>
      </c>
      <c r="U960" s="311">
        <f t="shared" ca="1" si="408"/>
        <v>0</v>
      </c>
      <c r="V960" s="306">
        <f t="shared" ca="1" si="409"/>
        <v>1.226101488457259</v>
      </c>
      <c r="W960" s="304">
        <f t="shared" ca="1" si="410"/>
        <v>18.35989673649636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-0.4806900309017248</v>
      </c>
      <c r="AH960" s="304">
        <f t="shared" ca="1" si="434"/>
        <v>-10.289690107620796</v>
      </c>
    </row>
    <row r="961" spans="1:34" x14ac:dyDescent="0.2">
      <c r="A961" s="347">
        <f t="shared" ca="1" si="412"/>
        <v>1E-4</v>
      </c>
      <c r="B961" s="304">
        <f t="shared" ca="1" si="413"/>
        <v>58.030400000001549</v>
      </c>
      <c r="D961" s="306">
        <f t="shared" ca="1" si="414"/>
        <v>-0.14690990991047029</v>
      </c>
      <c r="E961" s="307">
        <f t="shared" ca="1" si="415"/>
        <v>0.47864280991716335</v>
      </c>
      <c r="F961" s="304">
        <f t="shared" ca="1" si="416"/>
        <v>0.50068099735789884</v>
      </c>
      <c r="G961" s="306">
        <f t="shared" ca="1" si="417"/>
        <v>1.5079359576246465</v>
      </c>
      <c r="H961" s="307">
        <f t="shared" ca="1" si="418"/>
        <v>-105.60729753565994</v>
      </c>
      <c r="I961" s="304">
        <f t="shared" ca="1" si="419"/>
        <v>105.61806267697634</v>
      </c>
      <c r="J961" s="306">
        <f t="shared" ca="1" si="420"/>
        <v>809.6451793302748</v>
      </c>
      <c r="K961" s="307">
        <f t="shared" ca="1" si="421"/>
        <v>-8.9982624853885831</v>
      </c>
      <c r="L961" s="304">
        <f t="shared" ca="1" si="406"/>
        <v>809.69518038611841</v>
      </c>
      <c r="M961" s="306">
        <f t="shared" ca="1" si="422"/>
        <v>-1.5565185872329981</v>
      </c>
      <c r="N961" s="304">
        <f t="shared" ca="1" si="423"/>
        <v>-89.181945782116244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1.7842999999999964</v>
      </c>
      <c r="T961" s="304">
        <f t="shared" ca="1" si="407"/>
        <v>17.503982999999966</v>
      </c>
      <c r="U961" s="311">
        <f t="shared" ca="1" si="408"/>
        <v>0</v>
      </c>
      <c r="V961" s="306">
        <f t="shared" ca="1" si="409"/>
        <v>1.2261027833111451</v>
      </c>
      <c r="W961" s="304">
        <f t="shared" ca="1" si="410"/>
        <v>18.359899413897455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-0.48069151289869616</v>
      </c>
      <c r="AH961" s="304">
        <f t="shared" ca="1" si="434"/>
        <v>-10.289691608191669</v>
      </c>
    </row>
    <row r="962" spans="1:34" x14ac:dyDescent="0.2">
      <c r="A962" s="347">
        <f t="shared" ca="1" si="412"/>
        <v>1E-4</v>
      </c>
      <c r="B962" s="304">
        <f t="shared" ca="1" si="413"/>
        <v>58.030500000001553</v>
      </c>
      <c r="D962" s="306">
        <f t="shared" ca="1" si="414"/>
        <v>-0.14690856694676804</v>
      </c>
      <c r="E962" s="307">
        <f t="shared" ca="1" si="415"/>
        <v>0.47864432977903704</v>
      </c>
      <c r="F962" s="304">
        <f t="shared" ca="1" si="416"/>
        <v>0.50068205627121953</v>
      </c>
      <c r="G962" s="306">
        <f t="shared" ca="1" si="417"/>
        <v>1.5079212667679518</v>
      </c>
      <c r="H962" s="307">
        <f t="shared" ca="1" si="418"/>
        <v>-105.60724967122697</v>
      </c>
      <c r="I962" s="304">
        <f t="shared" ca="1" si="419"/>
        <v>105.61801460767779</v>
      </c>
      <c r="J962" s="306">
        <f t="shared" ca="1" si="420"/>
        <v>809.6451793302748</v>
      </c>
      <c r="K962" s="307">
        <f t="shared" ca="1" si="421"/>
        <v>-9.0088232127489274</v>
      </c>
      <c r="L962" s="304">
        <f t="shared" ca="1" si="406"/>
        <v>809.69529781790845</v>
      </c>
      <c r="M962" s="306">
        <f t="shared" ca="1" si="422"/>
        <v>-1.556518719842825</v>
      </c>
      <c r="N962" s="304">
        <f t="shared" ca="1" si="423"/>
        <v>-89.181953380099657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1.7842999999999964</v>
      </c>
      <c r="T962" s="304">
        <f t="shared" ca="1" si="407"/>
        <v>17.503982999999966</v>
      </c>
      <c r="U962" s="311">
        <f t="shared" ca="1" si="408"/>
        <v>0</v>
      </c>
      <c r="V962" s="306">
        <f t="shared" ca="1" si="409"/>
        <v>1.2261040781658123</v>
      </c>
      <c r="W962" s="304">
        <f t="shared" ca="1" si="410"/>
        <v>18.359902091231042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-0.48069299485816686</v>
      </c>
      <c r="AH962" s="304">
        <f t="shared" ca="1" si="434"/>
        <v>-10.289693108724705</v>
      </c>
    </row>
    <row r="963" spans="1:34" x14ac:dyDescent="0.2">
      <c r="A963" s="347">
        <f t="shared" ca="1" si="412"/>
        <v>1E-4</v>
      </c>
      <c r="B963" s="304">
        <f t="shared" ca="1" si="413"/>
        <v>58.030600000001556</v>
      </c>
      <c r="D963" s="306">
        <f t="shared" ca="1" si="414"/>
        <v>-0.14690722399417602</v>
      </c>
      <c r="E963" s="307">
        <f t="shared" ca="1" si="415"/>
        <v>0.47864584960273149</v>
      </c>
      <c r="F963" s="304">
        <f t="shared" ca="1" si="416"/>
        <v>0.50068311515727759</v>
      </c>
      <c r="G963" s="306">
        <f t="shared" ca="1" si="417"/>
        <v>1.5079065760455523</v>
      </c>
      <c r="H963" s="307">
        <f t="shared" ca="1" si="418"/>
        <v>-105.60720180664201</v>
      </c>
      <c r="I963" s="304">
        <f t="shared" ca="1" si="419"/>
        <v>105.61796653823104</v>
      </c>
      <c r="J963" s="306">
        <f t="shared" ca="1" si="420"/>
        <v>809.6451793302748</v>
      </c>
      <c r="K963" s="307">
        <f t="shared" ca="1" si="421"/>
        <v>-9.0193839353228213</v>
      </c>
      <c r="L963" s="304">
        <f t="shared" ca="1" si="406"/>
        <v>809.69541538736996</v>
      </c>
      <c r="M963" s="306">
        <f t="shared" ca="1" si="422"/>
        <v>-1.5565188524514806</v>
      </c>
      <c r="N963" s="304">
        <f t="shared" ca="1" si="423"/>
        <v>-89.181960978015951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1.7842999999999964</v>
      </c>
      <c r="T963" s="304">
        <f t="shared" ca="1" si="407"/>
        <v>17.503982999999966</v>
      </c>
      <c r="U963" s="311">
        <f t="shared" ca="1" si="408"/>
        <v>0</v>
      </c>
      <c r="V963" s="306">
        <f t="shared" ca="1" si="409"/>
        <v>1.2261053730212605</v>
      </c>
      <c r="W963" s="304">
        <f t="shared" ca="1" si="410"/>
        <v>18.359904768497103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-0.48069447678013866</v>
      </c>
      <c r="AH963" s="304">
        <f t="shared" ca="1" si="434"/>
        <v>-10.289694609219906</v>
      </c>
    </row>
    <row r="964" spans="1:34" x14ac:dyDescent="0.2">
      <c r="A964" s="347">
        <f t="shared" ca="1" si="412"/>
        <v>1E-4</v>
      </c>
      <c r="B964" s="304">
        <f t="shared" ca="1" si="413"/>
        <v>58.030700000001559</v>
      </c>
      <c r="D964" s="306">
        <f t="shared" ca="1" si="414"/>
        <v>-0.14690588105269414</v>
      </c>
      <c r="E964" s="307">
        <f t="shared" ca="1" si="415"/>
        <v>0.47864736938823782</v>
      </c>
      <c r="F964" s="304">
        <f t="shared" ca="1" si="416"/>
        <v>0.50068417401606424</v>
      </c>
      <c r="G964" s="306">
        <f t="shared" ca="1" si="417"/>
        <v>1.507891885457447</v>
      </c>
      <c r="H964" s="307">
        <f t="shared" ca="1" si="418"/>
        <v>-105.60715394190507</v>
      </c>
      <c r="I964" s="304">
        <f t="shared" ca="1" si="419"/>
        <v>105.61791846863611</v>
      </c>
      <c r="J964" s="306">
        <f t="shared" ca="1" si="420"/>
        <v>809.6451793302748</v>
      </c>
      <c r="K964" s="307">
        <f t="shared" ca="1" si="421"/>
        <v>-9.029944653110249</v>
      </c>
      <c r="L964" s="304">
        <f t="shared" ref="L964:L1004" ca="1" si="435">SQRT(pos_x^2+pos_z^2)</f>
        <v>809.69553309450282</v>
      </c>
      <c r="M964" s="306">
        <f t="shared" ca="1" si="422"/>
        <v>-1.5565189850589651</v>
      </c>
      <c r="N964" s="304">
        <f t="shared" ca="1" si="423"/>
        <v>-89.181968575865142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1.7842999999999964</v>
      </c>
      <c r="T964" s="304">
        <f t="shared" ref="T964:T1004" ca="1" si="436">m*g</f>
        <v>17.503982999999966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1.2261066678774903</v>
      </c>
      <c r="W964" s="304">
        <f t="shared" ref="W964:W1003" ca="1" si="439">1/2*Rho*Sref*Cx*vit_xz^2</f>
        <v>18.359907445695651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-0.48069595866460446</v>
      </c>
      <c r="AH964" s="304">
        <f t="shared" ca="1" si="434"/>
        <v>-10.289696109677262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58.030800000001562</v>
      </c>
      <c r="D965" s="306">
        <f t="shared" ref="D965:D1004" ca="1" si="443">IF(AND(L964&lt;L_rampe,Poussee&lt;Poids*SIN(M964)),0,(-W964+Poussee)/m*COS(M964)-U964/m*SIN(M964))</f>
        <v>-0.14690453812232024</v>
      </c>
      <c r="E965" s="307">
        <f t="shared" ref="E965:E1004" ca="1" si="444">IF(AND(L964&lt;L_rampe,Poussee&lt;Poids*SIN(M964)),0,(-W964+Poussee)/m*SIN(M964)+U964/m*COS(M964)-Poids/m)</f>
        <v>0.47864888913556491</v>
      </c>
      <c r="F965" s="304">
        <f t="shared" ref="F965:F1004" ca="1" si="445">SQRT(acc_x^2+acc_z^2)</f>
        <v>0.50068523284758715</v>
      </c>
      <c r="G965" s="306">
        <f t="shared" ref="G965:G1004" ca="1" si="446">G964+acc_x*pas</f>
        <v>1.5078771950036347</v>
      </c>
      <c r="H965" s="307">
        <f t="shared" ref="H965:H1004" ca="1" si="447">H964+acc_z*pas</f>
        <v>-105.60710607701616</v>
      </c>
      <c r="I965" s="304">
        <f t="shared" ref="I965:I1004" ca="1" si="448">SQRT(vit_x^2+vit_z^2)</f>
        <v>105.61787039889298</v>
      </c>
      <c r="J965" s="306">
        <f t="shared" ref="J965:J1004" ca="1" si="449">J964+0.5*(vit_x+G964)*pas*(K964&gt;=0)</f>
        <v>809.6451793302748</v>
      </c>
      <c r="K965" s="307">
        <f t="shared" ref="K965:K1004" ca="1" si="450">K964+0.5*(vit_z+H964)*pas</f>
        <v>-9.0405053661111943</v>
      </c>
      <c r="L965" s="304">
        <f t="shared" ca="1" si="435"/>
        <v>809.69565093930657</v>
      </c>
      <c r="M965" s="306">
        <f t="shared" ref="M965:M1004" ca="1" si="451">IF(AND(L964&gt;L_rampe,G965&gt;0),ATAN2(G965,H965),$M$4)</f>
        <v>-1.5565191176652784</v>
      </c>
      <c r="N965" s="304">
        <f t="shared" ref="N965:N1004" ca="1" si="452">DEGREES(Beta)</f>
        <v>-89.181976173647229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1.7842999999999964</v>
      </c>
      <c r="T965" s="304">
        <f t="shared" ca="1" si="436"/>
        <v>17.503982999999966</v>
      </c>
      <c r="U965" s="311">
        <f t="shared" ca="1" si="437"/>
        <v>0</v>
      </c>
      <c r="V965" s="306">
        <f t="shared" ca="1" si="438"/>
        <v>1.2261079627345013</v>
      </c>
      <c r="W965" s="304">
        <f t="shared" ca="1" si="439"/>
        <v>18.359910122826687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-0.4806974405115696</v>
      </c>
      <c r="AH965" s="304">
        <f t="shared" ref="AH965:AH1004" ca="1" si="463">IF(AND(L964&lt;L_rampe,Poussee&lt;Poids*SIN(M964)), g*SIN(M964), (-W964+Poussee)/m)</f>
        <v>-10.289697610096782</v>
      </c>
    </row>
    <row r="966" spans="1:34" x14ac:dyDescent="0.2">
      <c r="A966" s="347">
        <f t="shared" ca="1" si="441"/>
        <v>1E-4</v>
      </c>
      <c r="B966" s="304">
        <f t="shared" ca="1" si="442"/>
        <v>58.030900000001566</v>
      </c>
      <c r="D966" s="306">
        <f t="shared" ca="1" si="443"/>
        <v>-0.14690319520305661</v>
      </c>
      <c r="E966" s="307">
        <f t="shared" ca="1" si="444"/>
        <v>0.47865040884470922</v>
      </c>
      <c r="F966" s="304">
        <f t="shared" ca="1" si="445"/>
        <v>0.50068629165184331</v>
      </c>
      <c r="G966" s="306">
        <f t="shared" ca="1" si="446"/>
        <v>1.5078625046841143</v>
      </c>
      <c r="H966" s="307">
        <f t="shared" ca="1" si="447"/>
        <v>-105.60705821197527</v>
      </c>
      <c r="I966" s="304">
        <f t="shared" ca="1" si="448"/>
        <v>105.61782232900168</v>
      </c>
      <c r="J966" s="306">
        <f t="shared" ca="1" si="449"/>
        <v>809.6451793302748</v>
      </c>
      <c r="K966" s="307">
        <f t="shared" ca="1" si="450"/>
        <v>-9.051066074325643</v>
      </c>
      <c r="L966" s="304">
        <f t="shared" ca="1" si="435"/>
        <v>809.69576892178134</v>
      </c>
      <c r="M966" s="306">
        <f t="shared" ca="1" si="451"/>
        <v>-1.5565192502704206</v>
      </c>
      <c r="N966" s="304">
        <f t="shared" ca="1" si="452"/>
        <v>-89.181983771362226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1.7842999999999964</v>
      </c>
      <c r="T966" s="304">
        <f t="shared" ca="1" si="436"/>
        <v>17.503982999999966</v>
      </c>
      <c r="U966" s="311">
        <f t="shared" ca="1" si="437"/>
        <v>0</v>
      </c>
      <c r="V966" s="306">
        <f t="shared" ca="1" si="438"/>
        <v>1.2261092575922929</v>
      </c>
      <c r="W966" s="304">
        <f t="shared" ca="1" si="439"/>
        <v>18.359912799890207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-0.48069892232103406</v>
      </c>
      <c r="AH966" s="304">
        <f t="shared" ca="1" si="463"/>
        <v>-10.289699110478464</v>
      </c>
    </row>
    <row r="967" spans="1:34" x14ac:dyDescent="0.2">
      <c r="A967" s="347">
        <f t="shared" ca="1" si="441"/>
        <v>1E-4</v>
      </c>
      <c r="B967" s="304">
        <f t="shared" ca="1" si="442"/>
        <v>58.031000000001569</v>
      </c>
      <c r="D967" s="306">
        <f t="shared" ca="1" si="443"/>
        <v>-0.14690185229490096</v>
      </c>
      <c r="E967" s="307">
        <f t="shared" ca="1" si="444"/>
        <v>0.47865192851567429</v>
      </c>
      <c r="F967" s="304">
        <f t="shared" ca="1" si="445"/>
        <v>0.50068735042883505</v>
      </c>
      <c r="G967" s="306">
        <f t="shared" ca="1" si="446"/>
        <v>1.5078478144988847</v>
      </c>
      <c r="H967" s="307">
        <f t="shared" ca="1" si="447"/>
        <v>-105.60701034678242</v>
      </c>
      <c r="I967" s="304">
        <f t="shared" ca="1" si="448"/>
        <v>105.61777425896219</v>
      </c>
      <c r="J967" s="306">
        <f t="shared" ca="1" si="449"/>
        <v>809.6451793302748</v>
      </c>
      <c r="K967" s="307">
        <f t="shared" ca="1" si="450"/>
        <v>-9.0616267777535811</v>
      </c>
      <c r="L967" s="304">
        <f t="shared" ca="1" si="435"/>
        <v>809.69588704192643</v>
      </c>
      <c r="M967" s="306">
        <f t="shared" ca="1" si="451"/>
        <v>-1.5565193828743915</v>
      </c>
      <c r="N967" s="304">
        <f t="shared" ca="1" si="452"/>
        <v>-89.181991369010106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1.7842999999999964</v>
      </c>
      <c r="T967" s="304">
        <f t="shared" ca="1" si="436"/>
        <v>17.503982999999966</v>
      </c>
      <c r="U967" s="311">
        <f t="shared" ca="1" si="437"/>
        <v>0</v>
      </c>
      <c r="V967" s="306">
        <f t="shared" ca="1" si="438"/>
        <v>1.2261105524508664</v>
      </c>
      <c r="W967" s="304">
        <f t="shared" ca="1" si="439"/>
        <v>18.359915476886215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-0.48070040409299253</v>
      </c>
      <c r="AH967" s="304">
        <f t="shared" ca="1" si="463"/>
        <v>-10.289700610822308</v>
      </c>
    </row>
    <row r="968" spans="1:34" x14ac:dyDescent="0.2">
      <c r="A968" s="347">
        <f t="shared" ca="1" si="441"/>
        <v>1E-4</v>
      </c>
      <c r="B968" s="304">
        <f t="shared" ca="1" si="442"/>
        <v>58.031100000001572</v>
      </c>
      <c r="D968" s="306">
        <f t="shared" ca="1" si="443"/>
        <v>-0.14690050939785562</v>
      </c>
      <c r="E968" s="307">
        <f t="shared" ca="1" si="444"/>
        <v>0.47865344814845656</v>
      </c>
      <c r="F968" s="304">
        <f t="shared" ca="1" si="445"/>
        <v>0.5006884091785595</v>
      </c>
      <c r="G968" s="306">
        <f t="shared" ca="1" si="446"/>
        <v>1.507833124447945</v>
      </c>
      <c r="H968" s="307">
        <f t="shared" ca="1" si="447"/>
        <v>-105.60696248143761</v>
      </c>
      <c r="I968" s="304">
        <f t="shared" ca="1" si="448"/>
        <v>105.61772618877454</v>
      </c>
      <c r="J968" s="306">
        <f t="shared" ca="1" si="449"/>
        <v>809.6451793302748</v>
      </c>
      <c r="K968" s="307">
        <f t="shared" ca="1" si="450"/>
        <v>-9.0721874763949923</v>
      </c>
      <c r="L968" s="304">
        <f t="shared" ca="1" si="435"/>
        <v>809.69600529974196</v>
      </c>
      <c r="M968" s="306">
        <f t="shared" ca="1" si="451"/>
        <v>-1.5565195154771911</v>
      </c>
      <c r="N968" s="304">
        <f t="shared" ca="1" si="452"/>
        <v>-89.181998966590868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1.7842999999999964</v>
      </c>
      <c r="T968" s="304">
        <f t="shared" ca="1" si="436"/>
        <v>17.503982999999966</v>
      </c>
      <c r="U968" s="311">
        <f t="shared" ca="1" si="437"/>
        <v>0</v>
      </c>
      <c r="V968" s="306">
        <f t="shared" ca="1" si="438"/>
        <v>1.2261118473102206</v>
      </c>
      <c r="W968" s="304">
        <f t="shared" ca="1" si="439"/>
        <v>18.359918153814721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-0.48070188582745388</v>
      </c>
      <c r="AH968" s="304">
        <f t="shared" ca="1" si="463"/>
        <v>-10.289702111128314</v>
      </c>
    </row>
    <row r="969" spans="1:34" x14ac:dyDescent="0.2">
      <c r="A969" s="347">
        <f t="shared" ca="1" si="441"/>
        <v>1E-4</v>
      </c>
      <c r="B969" s="304">
        <f t="shared" ca="1" si="442"/>
        <v>58.031200000001576</v>
      </c>
      <c r="D969" s="306">
        <f t="shared" ca="1" si="443"/>
        <v>-0.14689916651192075</v>
      </c>
      <c r="E969" s="307">
        <f t="shared" ca="1" si="444"/>
        <v>0.47865496774306671</v>
      </c>
      <c r="F969" s="304">
        <f t="shared" ca="1" si="445"/>
        <v>0.50068946790102675</v>
      </c>
      <c r="G969" s="306">
        <f t="shared" ca="1" si="446"/>
        <v>1.5078184345312939</v>
      </c>
      <c r="H969" s="307">
        <f t="shared" ca="1" si="447"/>
        <v>-105.60691461594084</v>
      </c>
      <c r="I969" s="304">
        <f t="shared" ca="1" si="448"/>
        <v>105.61767811843873</v>
      </c>
      <c r="J969" s="306">
        <f t="shared" ca="1" si="449"/>
        <v>809.6451793302748</v>
      </c>
      <c r="K969" s="307">
        <f t="shared" ca="1" si="450"/>
        <v>-9.0827481702498609</v>
      </c>
      <c r="L969" s="304">
        <f t="shared" ca="1" si="435"/>
        <v>809.69612369522747</v>
      </c>
      <c r="M969" s="306">
        <f t="shared" ca="1" si="451"/>
        <v>-1.5565196480788197</v>
      </c>
      <c r="N969" s="304">
        <f t="shared" ca="1" si="452"/>
        <v>-89.18200656410454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1.7842999999999964</v>
      </c>
      <c r="T969" s="304">
        <f t="shared" ca="1" si="436"/>
        <v>17.503982999999966</v>
      </c>
      <c r="U969" s="311">
        <f t="shared" ca="1" si="437"/>
        <v>0</v>
      </c>
      <c r="V969" s="306">
        <f t="shared" ca="1" si="438"/>
        <v>1.2261131421703564</v>
      </c>
      <c r="W969" s="304">
        <f t="shared" ca="1" si="439"/>
        <v>18.359920830675723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-0.48070336752441989</v>
      </c>
      <c r="AH969" s="304">
        <f t="shared" ca="1" si="463"/>
        <v>-10.28970361139649</v>
      </c>
    </row>
    <row r="970" spans="1:34" x14ac:dyDescent="0.2">
      <c r="A970" s="347">
        <f t="shared" ca="1" si="441"/>
        <v>1E-4</v>
      </c>
      <c r="B970" s="304">
        <f t="shared" ca="1" si="442"/>
        <v>58.031300000001579</v>
      </c>
      <c r="D970" s="306">
        <f t="shared" ca="1" si="443"/>
        <v>-0.14689782363709403</v>
      </c>
      <c r="E970" s="307">
        <f t="shared" ca="1" si="444"/>
        <v>0.47865648729949939</v>
      </c>
      <c r="F970" s="304">
        <f t="shared" ca="1" si="445"/>
        <v>0.50069052659623048</v>
      </c>
      <c r="G970" s="306">
        <f t="shared" ca="1" si="446"/>
        <v>1.5078037447489303</v>
      </c>
      <c r="H970" s="307">
        <f t="shared" ca="1" si="447"/>
        <v>-105.60686675029211</v>
      </c>
      <c r="I970" s="304">
        <f t="shared" ca="1" si="448"/>
        <v>105.61763004795475</v>
      </c>
      <c r="J970" s="306">
        <f t="shared" ca="1" si="449"/>
        <v>809.6451793302748</v>
      </c>
      <c r="K970" s="307">
        <f t="shared" ca="1" si="450"/>
        <v>-9.0933088593181726</v>
      </c>
      <c r="L970" s="304">
        <f t="shared" ca="1" si="435"/>
        <v>809.69624222838274</v>
      </c>
      <c r="M970" s="306">
        <f t="shared" ca="1" si="451"/>
        <v>-1.556519780679277</v>
      </c>
      <c r="N970" s="304">
        <f t="shared" ca="1" si="452"/>
        <v>-89.182014161551109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1.7842999999999964</v>
      </c>
      <c r="T970" s="304">
        <f t="shared" ca="1" si="436"/>
        <v>17.503982999999966</v>
      </c>
      <c r="U970" s="311">
        <f t="shared" ca="1" si="437"/>
        <v>0</v>
      </c>
      <c r="V970" s="306">
        <f t="shared" ca="1" si="438"/>
        <v>1.2261144370312733</v>
      </c>
      <c r="W970" s="304">
        <f t="shared" ca="1" si="439"/>
        <v>18.359923507469212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-0.48070484918389234</v>
      </c>
      <c r="AH970" s="304">
        <f t="shared" ca="1" si="463"/>
        <v>-10.289705111626834</v>
      </c>
    </row>
    <row r="971" spans="1:34" x14ac:dyDescent="0.2">
      <c r="A971" s="347">
        <f t="shared" ca="1" si="441"/>
        <v>1E-4</v>
      </c>
      <c r="B971" s="304">
        <f t="shared" ca="1" si="442"/>
        <v>58.031400000001582</v>
      </c>
      <c r="D971" s="306">
        <f t="shared" ca="1" si="443"/>
        <v>-0.14689648077337766</v>
      </c>
      <c r="E971" s="307">
        <f t="shared" ca="1" si="444"/>
        <v>0.47865800681775283</v>
      </c>
      <c r="F971" s="304">
        <f t="shared" ca="1" si="445"/>
        <v>0.50069158526416968</v>
      </c>
      <c r="G971" s="306">
        <f t="shared" ca="1" si="446"/>
        <v>1.507789055100853</v>
      </c>
      <c r="H971" s="307">
        <f t="shared" ca="1" si="447"/>
        <v>-105.60681888449143</v>
      </c>
      <c r="I971" s="304">
        <f t="shared" ca="1" si="448"/>
        <v>105.61758197732259</v>
      </c>
      <c r="J971" s="306">
        <f t="shared" ca="1" si="449"/>
        <v>809.6451793302748</v>
      </c>
      <c r="K971" s="307">
        <f t="shared" ca="1" si="450"/>
        <v>-9.1038695435999113</v>
      </c>
      <c r="L971" s="304">
        <f t="shared" ca="1" si="435"/>
        <v>809.69636089920755</v>
      </c>
      <c r="M971" s="306">
        <f t="shared" ca="1" si="451"/>
        <v>-1.5565199132785632</v>
      </c>
      <c r="N971" s="304">
        <f t="shared" ca="1" si="452"/>
        <v>-89.182021758930574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1.7842999999999964</v>
      </c>
      <c r="T971" s="304">
        <f t="shared" ca="1" si="436"/>
        <v>17.503982999999966</v>
      </c>
      <c r="U971" s="311">
        <f t="shared" ca="1" si="437"/>
        <v>0</v>
      </c>
      <c r="V971" s="306">
        <f t="shared" ca="1" si="438"/>
        <v>1.2261157318929712</v>
      </c>
      <c r="W971" s="304">
        <f t="shared" ca="1" si="439"/>
        <v>18.359926184195185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-0.48070633080586234</v>
      </c>
      <c r="AH971" s="304">
        <f t="shared" ca="1" si="463"/>
        <v>-10.289706611819341</v>
      </c>
    </row>
    <row r="972" spans="1:34" x14ac:dyDescent="0.2">
      <c r="A972" s="347">
        <f t="shared" ca="1" si="441"/>
        <v>1E-4</v>
      </c>
      <c r="B972" s="304">
        <f t="shared" ca="1" si="442"/>
        <v>58.031500000001586</v>
      </c>
      <c r="D972" s="306">
        <f t="shared" ca="1" si="443"/>
        <v>-0.14689513792076939</v>
      </c>
      <c r="E972" s="307">
        <f t="shared" ca="1" si="444"/>
        <v>0.47865952629782349</v>
      </c>
      <c r="F972" s="304">
        <f t="shared" ca="1" si="445"/>
        <v>0.5006926439048397</v>
      </c>
      <c r="G972" s="306">
        <f t="shared" ca="1" si="446"/>
        <v>1.507774365587061</v>
      </c>
      <c r="H972" s="307">
        <f t="shared" ca="1" si="447"/>
        <v>-105.60677101853881</v>
      </c>
      <c r="I972" s="304">
        <f t="shared" ca="1" si="448"/>
        <v>105.61753390654229</v>
      </c>
      <c r="J972" s="306">
        <f t="shared" ca="1" si="449"/>
        <v>809.6451793302748</v>
      </c>
      <c r="K972" s="307">
        <f t="shared" ca="1" si="450"/>
        <v>-9.1144302230950629</v>
      </c>
      <c r="L972" s="304">
        <f t="shared" ca="1" si="435"/>
        <v>809.69647970770166</v>
      </c>
      <c r="M972" s="306">
        <f t="shared" ca="1" si="451"/>
        <v>-1.5565200458766784</v>
      </c>
      <c r="N972" s="304">
        <f t="shared" ca="1" si="452"/>
        <v>-89.18202935624295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1.7842999999999964</v>
      </c>
      <c r="T972" s="304">
        <f t="shared" ca="1" si="436"/>
        <v>17.503982999999966</v>
      </c>
      <c r="U972" s="311">
        <f t="shared" ca="1" si="437"/>
        <v>0</v>
      </c>
      <c r="V972" s="306">
        <f t="shared" ca="1" si="438"/>
        <v>1.2261170267554504</v>
      </c>
      <c r="W972" s="304">
        <f t="shared" ca="1" si="439"/>
        <v>18.359928860853664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-0.48070781239032812</v>
      </c>
      <c r="AH972" s="304">
        <f t="shared" ca="1" si="463"/>
        <v>-10.289708111974008</v>
      </c>
    </row>
    <row r="973" spans="1:34" x14ac:dyDescent="0.2">
      <c r="A973" s="347">
        <f t="shared" ca="1" si="441"/>
        <v>1E-4</v>
      </c>
      <c r="B973" s="304">
        <f t="shared" ca="1" si="442"/>
        <v>58.031600000001589</v>
      </c>
      <c r="D973" s="306">
        <f t="shared" ca="1" si="443"/>
        <v>-0.14689379507926939</v>
      </c>
      <c r="E973" s="307">
        <f t="shared" ca="1" si="444"/>
        <v>0.47866104573972201</v>
      </c>
      <c r="F973" s="304">
        <f t="shared" ca="1" si="445"/>
        <v>0.50069370251825085</v>
      </c>
      <c r="G973" s="306">
        <f t="shared" ca="1" si="446"/>
        <v>1.5077596762075531</v>
      </c>
      <c r="H973" s="307">
        <f t="shared" ca="1" si="447"/>
        <v>-105.60672315243423</v>
      </c>
      <c r="I973" s="304">
        <f t="shared" ca="1" si="448"/>
        <v>105.61748583561382</v>
      </c>
      <c r="J973" s="306">
        <f t="shared" ca="1" si="449"/>
        <v>809.6451793302748</v>
      </c>
      <c r="K973" s="307">
        <f t="shared" ca="1" si="450"/>
        <v>-9.1249908978036114</v>
      </c>
      <c r="L973" s="304">
        <f t="shared" ca="1" si="435"/>
        <v>809.69659865386484</v>
      </c>
      <c r="M973" s="306">
        <f t="shared" ca="1" si="451"/>
        <v>-1.5565201784736225</v>
      </c>
      <c r="N973" s="304">
        <f t="shared" ca="1" si="452"/>
        <v>-89.182036953488222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1.7842999999999964</v>
      </c>
      <c r="T973" s="304">
        <f t="shared" ca="1" si="436"/>
        <v>17.503982999999966</v>
      </c>
      <c r="U973" s="311">
        <f t="shared" ca="1" si="437"/>
        <v>0</v>
      </c>
      <c r="V973" s="306">
        <f t="shared" ca="1" si="438"/>
        <v>1.2261183216187104</v>
      </c>
      <c r="W973" s="304">
        <f t="shared" ca="1" si="439"/>
        <v>18.359931537444627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-0.48070929393730566</v>
      </c>
      <c r="AH973" s="304">
        <f t="shared" ca="1" si="463"/>
        <v>-10.289709612090848</v>
      </c>
    </row>
    <row r="974" spans="1:34" x14ac:dyDescent="0.2">
      <c r="A974" s="347">
        <f t="shared" ca="1" si="441"/>
        <v>1E-4</v>
      </c>
      <c r="B974" s="304">
        <f t="shared" ca="1" si="442"/>
        <v>58.031700000001592</v>
      </c>
      <c r="D974" s="306">
        <f t="shared" ca="1" si="443"/>
        <v>-0.14689245224887756</v>
      </c>
      <c r="E974" s="307">
        <f t="shared" ca="1" si="444"/>
        <v>0.4786625651434413</v>
      </c>
      <c r="F974" s="304">
        <f t="shared" ca="1" si="445"/>
        <v>0.50069476110439581</v>
      </c>
      <c r="G974" s="306">
        <f t="shared" ca="1" si="446"/>
        <v>1.5077449869623283</v>
      </c>
      <c r="H974" s="307">
        <f t="shared" ca="1" si="447"/>
        <v>-105.60667528617772</v>
      </c>
      <c r="I974" s="304">
        <f t="shared" ca="1" si="448"/>
        <v>105.6174377645372</v>
      </c>
      <c r="J974" s="306">
        <f t="shared" ca="1" si="449"/>
        <v>809.6451793302748</v>
      </c>
      <c r="K974" s="307">
        <f t="shared" ca="1" si="450"/>
        <v>-9.1355515677255426</v>
      </c>
      <c r="L974" s="304">
        <f t="shared" ca="1" si="435"/>
        <v>809.69671773769676</v>
      </c>
      <c r="M974" s="306">
        <f t="shared" ca="1" si="451"/>
        <v>-1.5565203110693953</v>
      </c>
      <c r="N974" s="304">
        <f t="shared" ca="1" si="452"/>
        <v>-89.182044550666376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1.7842999999999964</v>
      </c>
      <c r="T974" s="304">
        <f t="shared" ca="1" si="436"/>
        <v>17.503982999999966</v>
      </c>
      <c r="U974" s="311">
        <f t="shared" ca="1" si="437"/>
        <v>0</v>
      </c>
      <c r="V974" s="306">
        <f t="shared" ca="1" si="438"/>
        <v>1.2261196164827519</v>
      </c>
      <c r="W974" s="304">
        <f t="shared" ca="1" si="439"/>
        <v>18.359934213968092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-0.48071077544678253</v>
      </c>
      <c r="AH974" s="304">
        <f t="shared" ca="1" si="463"/>
        <v>-10.289711112169851</v>
      </c>
    </row>
    <row r="975" spans="1:34" x14ac:dyDescent="0.2">
      <c r="A975" s="347">
        <f t="shared" ca="1" si="441"/>
        <v>1E-4</v>
      </c>
      <c r="B975" s="304">
        <f t="shared" ca="1" si="442"/>
        <v>58.031800000001596</v>
      </c>
      <c r="D975" s="306">
        <f t="shared" ca="1" si="443"/>
        <v>-0.14689110942959627</v>
      </c>
      <c r="E975" s="307">
        <f t="shared" ca="1" si="444"/>
        <v>0.47866408450898668</v>
      </c>
      <c r="F975" s="304">
        <f t="shared" ca="1" si="445"/>
        <v>0.50069581966328014</v>
      </c>
      <c r="G975" s="306">
        <f t="shared" ca="1" si="446"/>
        <v>1.5077302978513853</v>
      </c>
      <c r="H975" s="307">
        <f t="shared" ca="1" si="447"/>
        <v>-105.60662741976927</v>
      </c>
      <c r="I975" s="304">
        <f t="shared" ca="1" si="448"/>
        <v>105.61738969331243</v>
      </c>
      <c r="J975" s="306">
        <f t="shared" ca="1" si="449"/>
        <v>809.6451793302748</v>
      </c>
      <c r="K975" s="307">
        <f t="shared" ca="1" si="450"/>
        <v>-9.1461122328608404</v>
      </c>
      <c r="L975" s="304">
        <f t="shared" ca="1" si="435"/>
        <v>809.6968369591973</v>
      </c>
      <c r="M975" s="306">
        <f t="shared" ca="1" si="451"/>
        <v>-1.556520443663997</v>
      </c>
      <c r="N975" s="304">
        <f t="shared" ca="1" si="452"/>
        <v>-89.182052147777441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1.7842999999999964</v>
      </c>
      <c r="T975" s="304">
        <f t="shared" ca="1" si="436"/>
        <v>17.503982999999966</v>
      </c>
      <c r="U975" s="311">
        <f t="shared" ca="1" si="437"/>
        <v>0</v>
      </c>
      <c r="V975" s="306">
        <f t="shared" ca="1" si="438"/>
        <v>1.2261209113475751</v>
      </c>
      <c r="W975" s="304">
        <f t="shared" ca="1" si="439"/>
        <v>18.359936890424063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-0.48071225691876407</v>
      </c>
      <c r="AH975" s="304">
        <f t="shared" ca="1" si="463"/>
        <v>-10.289712612211023</v>
      </c>
    </row>
    <row r="976" spans="1:34" x14ac:dyDescent="0.2">
      <c r="A976" s="347">
        <f t="shared" ca="1" si="441"/>
        <v>1E-4</v>
      </c>
      <c r="B976" s="304">
        <f t="shared" ca="1" si="442"/>
        <v>58.031900000001599</v>
      </c>
      <c r="D976" s="306">
        <f t="shared" ca="1" si="443"/>
        <v>-0.14688976662142333</v>
      </c>
      <c r="E976" s="307">
        <f t="shared" ca="1" si="444"/>
        <v>0.4786656038363617</v>
      </c>
      <c r="F976" s="304">
        <f t="shared" ca="1" si="445"/>
        <v>0.50069687819490649</v>
      </c>
      <c r="G976" s="306">
        <f t="shared" ca="1" si="446"/>
        <v>1.5077156088747232</v>
      </c>
      <c r="H976" s="307">
        <f t="shared" ca="1" si="447"/>
        <v>-105.60657955320889</v>
      </c>
      <c r="I976" s="304">
        <f t="shared" ca="1" si="448"/>
        <v>105.61734162193953</v>
      </c>
      <c r="J976" s="306">
        <f t="shared" ca="1" si="449"/>
        <v>809.6451793302748</v>
      </c>
      <c r="K976" s="307">
        <f t="shared" ca="1" si="450"/>
        <v>-9.156672893209489</v>
      </c>
      <c r="L976" s="304">
        <f t="shared" ca="1" si="435"/>
        <v>809.69695631836612</v>
      </c>
      <c r="M976" s="306">
        <f t="shared" ca="1" si="451"/>
        <v>-1.5565205762574277</v>
      </c>
      <c r="N976" s="304">
        <f t="shared" ca="1" si="452"/>
        <v>-89.182059744821416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1.7842999999999964</v>
      </c>
      <c r="T976" s="304">
        <f t="shared" ca="1" si="436"/>
        <v>17.503982999999966</v>
      </c>
      <c r="U976" s="311">
        <f t="shared" ca="1" si="437"/>
        <v>0</v>
      </c>
      <c r="V976" s="306">
        <f t="shared" ca="1" si="438"/>
        <v>1.2261222062131787</v>
      </c>
      <c r="W976" s="304">
        <f t="shared" ca="1" si="439"/>
        <v>18.359939566812525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-0.48071373835325737</v>
      </c>
      <c r="AH976" s="304">
        <f t="shared" ca="1" si="463"/>
        <v>-10.289714112214369</v>
      </c>
    </row>
    <row r="977" spans="1:34" x14ac:dyDescent="0.2">
      <c r="A977" s="347">
        <f t="shared" ca="1" si="441"/>
        <v>1E-4</v>
      </c>
      <c r="B977" s="304">
        <f t="shared" ca="1" si="442"/>
        <v>58.032000000001602</v>
      </c>
      <c r="D977" s="306">
        <f t="shared" ca="1" si="443"/>
        <v>-0.14688842382435868</v>
      </c>
      <c r="E977" s="307">
        <f t="shared" ca="1" si="444"/>
        <v>0.47866712312555926</v>
      </c>
      <c r="F977" s="304">
        <f t="shared" ca="1" si="445"/>
        <v>0.50069793669926754</v>
      </c>
      <c r="G977" s="306">
        <f t="shared" ca="1" si="446"/>
        <v>1.5077009200323408</v>
      </c>
      <c r="H977" s="307">
        <f t="shared" ca="1" si="447"/>
        <v>-105.60653168649658</v>
      </c>
      <c r="I977" s="304">
        <f t="shared" ca="1" si="448"/>
        <v>105.61729355041849</v>
      </c>
      <c r="J977" s="306">
        <f t="shared" ca="1" si="449"/>
        <v>809.6451793302748</v>
      </c>
      <c r="K977" s="307">
        <f t="shared" ca="1" si="450"/>
        <v>-9.167233548771474</v>
      </c>
      <c r="L977" s="304">
        <f t="shared" ca="1" si="435"/>
        <v>809.69707581520299</v>
      </c>
      <c r="M977" s="306">
        <f t="shared" ca="1" si="451"/>
        <v>-1.5565207088496873</v>
      </c>
      <c r="N977" s="304">
        <f t="shared" ca="1" si="452"/>
        <v>-89.182067341798287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1.7842999999999964</v>
      </c>
      <c r="T977" s="304">
        <f t="shared" ca="1" si="436"/>
        <v>17.503982999999966</v>
      </c>
      <c r="U977" s="311">
        <f t="shared" ca="1" si="437"/>
        <v>0</v>
      </c>
      <c r="V977" s="306">
        <f t="shared" ca="1" si="438"/>
        <v>1.2261235010795639</v>
      </c>
      <c r="W977" s="304">
        <f t="shared" ca="1" si="439"/>
        <v>18.359942243133496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-0.48071521975025</v>
      </c>
      <c r="AH977" s="304">
        <f t="shared" ca="1" si="463"/>
        <v>-10.289715612179881</v>
      </c>
    </row>
    <row r="978" spans="1:34" x14ac:dyDescent="0.2">
      <c r="A978" s="347">
        <f t="shared" ca="1" si="441"/>
        <v>1E-4</v>
      </c>
      <c r="B978" s="304">
        <f t="shared" ca="1" si="442"/>
        <v>58.032100000001606</v>
      </c>
      <c r="D978" s="306">
        <f t="shared" ca="1" si="443"/>
        <v>-0.1468870810384024</v>
      </c>
      <c r="E978" s="307">
        <f t="shared" ca="1" si="444"/>
        <v>0.47866864237658824</v>
      </c>
      <c r="F978" s="304">
        <f t="shared" ca="1" si="445"/>
        <v>0.50069899517637173</v>
      </c>
      <c r="G978" s="306">
        <f t="shared" ca="1" si="446"/>
        <v>1.507686231324237</v>
      </c>
      <c r="H978" s="307">
        <f t="shared" ca="1" si="447"/>
        <v>-105.60648381963234</v>
      </c>
      <c r="I978" s="304">
        <f t="shared" ca="1" si="448"/>
        <v>105.61724547874933</v>
      </c>
      <c r="J978" s="306">
        <f t="shared" ca="1" si="449"/>
        <v>809.6451793302748</v>
      </c>
      <c r="K978" s="307">
        <f t="shared" ca="1" si="450"/>
        <v>-9.1777941995467813</v>
      </c>
      <c r="L978" s="304">
        <f t="shared" ca="1" si="435"/>
        <v>809.69719544970769</v>
      </c>
      <c r="M978" s="306">
        <f t="shared" ca="1" si="451"/>
        <v>-1.5565208414407758</v>
      </c>
      <c r="N978" s="304">
        <f t="shared" ca="1" si="452"/>
        <v>-89.18207493870807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1.7842999999999964</v>
      </c>
      <c r="T978" s="304">
        <f t="shared" ca="1" si="436"/>
        <v>17.503982999999966</v>
      </c>
      <c r="U978" s="311">
        <f t="shared" ca="1" si="437"/>
        <v>0</v>
      </c>
      <c r="V978" s="306">
        <f t="shared" ca="1" si="438"/>
        <v>1.2261247959467303</v>
      </c>
      <c r="W978" s="304">
        <f t="shared" ca="1" si="439"/>
        <v>18.359944919386972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-0.48071670110975617</v>
      </c>
      <c r="AH978" s="304">
        <f t="shared" ca="1" si="463"/>
        <v>-10.289717112107567</v>
      </c>
    </row>
    <row r="979" spans="1:34" x14ac:dyDescent="0.2">
      <c r="A979" s="347">
        <f t="shared" ca="1" si="441"/>
        <v>1E-4</v>
      </c>
      <c r="B979" s="304">
        <f t="shared" ca="1" si="442"/>
        <v>58.032200000001609</v>
      </c>
      <c r="D979" s="306">
        <f t="shared" ca="1" si="443"/>
        <v>-0.14688573826355455</v>
      </c>
      <c r="E979" s="307">
        <f t="shared" ca="1" si="444"/>
        <v>0.47867016158944686</v>
      </c>
      <c r="F979" s="304">
        <f t="shared" ca="1" si="445"/>
        <v>0.50070005362621706</v>
      </c>
      <c r="G979" s="306">
        <f t="shared" ca="1" si="446"/>
        <v>1.5076715427504106</v>
      </c>
      <c r="H979" s="307">
        <f t="shared" ca="1" si="447"/>
        <v>-105.60643595261618</v>
      </c>
      <c r="I979" s="304">
        <f t="shared" ca="1" si="448"/>
        <v>105.61719740693199</v>
      </c>
      <c r="J979" s="306">
        <f t="shared" ca="1" si="449"/>
        <v>809.6451793302748</v>
      </c>
      <c r="K979" s="307">
        <f t="shared" ca="1" si="450"/>
        <v>-9.1883548455353932</v>
      </c>
      <c r="L979" s="304">
        <f t="shared" ca="1" si="435"/>
        <v>809.69731522187988</v>
      </c>
      <c r="M979" s="306">
        <f t="shared" ca="1" si="451"/>
        <v>-1.5565209740306931</v>
      </c>
      <c r="N979" s="304">
        <f t="shared" ca="1" si="452"/>
        <v>-89.182082535550734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1.7842999999999964</v>
      </c>
      <c r="T979" s="304">
        <f t="shared" ca="1" si="436"/>
        <v>17.503982999999966</v>
      </c>
      <c r="U979" s="311">
        <f t="shared" ca="1" si="437"/>
        <v>0</v>
      </c>
      <c r="V979" s="306">
        <f t="shared" ca="1" si="438"/>
        <v>1.226126090814678</v>
      </c>
      <c r="W979" s="304">
        <f t="shared" ca="1" si="439"/>
        <v>18.359947595572947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-0.48071818243177233</v>
      </c>
      <c r="AH979" s="304">
        <f t="shared" ca="1" si="463"/>
        <v>-10.289718611997428</v>
      </c>
    </row>
    <row r="980" spans="1:34" x14ac:dyDescent="0.2">
      <c r="A980" s="347">
        <f t="shared" ca="1" si="441"/>
        <v>1E-4</v>
      </c>
      <c r="B980" s="304">
        <f t="shared" ca="1" si="442"/>
        <v>58.032300000001612</v>
      </c>
      <c r="D980" s="306">
        <f t="shared" ca="1" si="443"/>
        <v>-0.14688439549981733</v>
      </c>
      <c r="E980" s="307">
        <f t="shared" ca="1" si="444"/>
        <v>0.4786716807641298</v>
      </c>
      <c r="F980" s="304">
        <f t="shared" ca="1" si="445"/>
        <v>0.50070111204879875</v>
      </c>
      <c r="G980" s="306">
        <f t="shared" ca="1" si="446"/>
        <v>1.5076568543108606</v>
      </c>
      <c r="H980" s="307">
        <f t="shared" ca="1" si="447"/>
        <v>-105.6063880854481</v>
      </c>
      <c r="I980" s="304">
        <f t="shared" ca="1" si="448"/>
        <v>105.61714933496656</v>
      </c>
      <c r="J980" s="306">
        <f t="shared" ca="1" si="449"/>
        <v>809.6451793302748</v>
      </c>
      <c r="K980" s="307">
        <f t="shared" ca="1" si="450"/>
        <v>-9.1989154867372971</v>
      </c>
      <c r="L980" s="304">
        <f t="shared" ca="1" si="435"/>
        <v>809.69743513171943</v>
      </c>
      <c r="M980" s="306">
        <f t="shared" ca="1" si="451"/>
        <v>-1.5565211066194395</v>
      </c>
      <c r="N980" s="304">
        <f t="shared" ca="1" si="452"/>
        <v>-89.182090132326309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1.7842999999999964</v>
      </c>
      <c r="T980" s="304">
        <f t="shared" ca="1" si="436"/>
        <v>17.503982999999966</v>
      </c>
      <c r="U980" s="311">
        <f t="shared" ca="1" si="437"/>
        <v>0</v>
      </c>
      <c r="V980" s="306">
        <f t="shared" ca="1" si="438"/>
        <v>1.2261273856834065</v>
      </c>
      <c r="W980" s="304">
        <f t="shared" ca="1" si="439"/>
        <v>18.359950271691417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-0.48071966371629138</v>
      </c>
      <c r="AH980" s="304">
        <f t="shared" ca="1" si="463"/>
        <v>-10.289720111849455</v>
      </c>
    </row>
    <row r="981" spans="1:34" x14ac:dyDescent="0.2">
      <c r="A981" s="347">
        <f t="shared" ca="1" si="441"/>
        <v>1E-4</v>
      </c>
      <c r="B981" s="304">
        <f t="shared" ca="1" si="442"/>
        <v>58.032400000001616</v>
      </c>
      <c r="D981" s="306">
        <f t="shared" ca="1" si="443"/>
        <v>-0.14688305274718622</v>
      </c>
      <c r="E981" s="307">
        <f t="shared" ca="1" si="444"/>
        <v>0.47867319990064061</v>
      </c>
      <c r="F981" s="304">
        <f t="shared" ca="1" si="445"/>
        <v>0.5007021704441188</v>
      </c>
      <c r="G981" s="306">
        <f t="shared" ca="1" si="446"/>
        <v>1.5076421660055859</v>
      </c>
      <c r="H981" s="307">
        <f t="shared" ca="1" si="447"/>
        <v>-105.60634021812811</v>
      </c>
      <c r="I981" s="304">
        <f t="shared" ca="1" si="448"/>
        <v>105.61710126285298</v>
      </c>
      <c r="J981" s="306">
        <f t="shared" ca="1" si="449"/>
        <v>809.6451793302748</v>
      </c>
      <c r="K981" s="307">
        <f t="shared" ca="1" si="450"/>
        <v>-9.2094761231524753</v>
      </c>
      <c r="L981" s="304">
        <f t="shared" ca="1" si="435"/>
        <v>809.69755517922601</v>
      </c>
      <c r="M981" s="306">
        <f t="shared" ca="1" si="451"/>
        <v>-1.5565212392070149</v>
      </c>
      <c r="N981" s="304">
        <f t="shared" ca="1" si="452"/>
        <v>-89.182097729034794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1.7842999999999964</v>
      </c>
      <c r="T981" s="304">
        <f t="shared" ca="1" si="436"/>
        <v>17.503982999999966</v>
      </c>
      <c r="U981" s="311">
        <f t="shared" ca="1" si="437"/>
        <v>0</v>
      </c>
      <c r="V981" s="306">
        <f t="shared" ca="1" si="438"/>
        <v>1.2261286805529166</v>
      </c>
      <c r="W981" s="304">
        <f t="shared" ca="1" si="439"/>
        <v>18.359952947742396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-0.48072114496331508</v>
      </c>
      <c r="AH981" s="304">
        <f t="shared" ca="1" si="463"/>
        <v>-10.289721611663651</v>
      </c>
    </row>
    <row r="982" spans="1:34" x14ac:dyDescent="0.2">
      <c r="A982" s="347">
        <f t="shared" ca="1" si="441"/>
        <v>1E-4</v>
      </c>
      <c r="B982" s="304">
        <f t="shared" ca="1" si="442"/>
        <v>58.032500000001619</v>
      </c>
      <c r="D982" s="306">
        <f t="shared" ca="1" si="443"/>
        <v>-0.14688171000566358</v>
      </c>
      <c r="E982" s="307">
        <f t="shared" ca="1" si="444"/>
        <v>0.47867471899898106</v>
      </c>
      <c r="F982" s="304">
        <f t="shared" ca="1" si="445"/>
        <v>0.5007032288121791</v>
      </c>
      <c r="G982" s="306">
        <f t="shared" ca="1" si="446"/>
        <v>1.5076274778345853</v>
      </c>
      <c r="H982" s="307">
        <f t="shared" ca="1" si="447"/>
        <v>-105.6062923506562</v>
      </c>
      <c r="I982" s="304">
        <f t="shared" ca="1" si="448"/>
        <v>105.61705319059128</v>
      </c>
      <c r="J982" s="306">
        <f t="shared" ca="1" si="449"/>
        <v>809.6451793302748</v>
      </c>
      <c r="K982" s="307">
        <f t="shared" ca="1" si="450"/>
        <v>-9.2200367547809137</v>
      </c>
      <c r="L982" s="304">
        <f t="shared" ca="1" si="435"/>
        <v>809.6976753643994</v>
      </c>
      <c r="M982" s="306">
        <f t="shared" ca="1" si="451"/>
        <v>-1.5565213717934192</v>
      </c>
      <c r="N982" s="304">
        <f t="shared" ca="1" si="452"/>
        <v>-89.182105325676176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1.7842999999999964</v>
      </c>
      <c r="T982" s="304">
        <f t="shared" ca="1" si="436"/>
        <v>17.503982999999966</v>
      </c>
      <c r="U982" s="311">
        <f t="shared" ca="1" si="437"/>
        <v>0</v>
      </c>
      <c r="V982" s="306">
        <f t="shared" ca="1" si="438"/>
        <v>1.2261299754232073</v>
      </c>
      <c r="W982" s="304">
        <f t="shared" ca="1" si="439"/>
        <v>18.359955623725877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-0.48072262617285411</v>
      </c>
      <c r="AH982" s="304">
        <f t="shared" ca="1" si="463"/>
        <v>-10.289723111440024</v>
      </c>
    </row>
    <row r="983" spans="1:34" x14ac:dyDescent="0.2">
      <c r="A983" s="347">
        <f t="shared" ca="1" si="441"/>
        <v>1E-4</v>
      </c>
      <c r="B983" s="304">
        <f t="shared" ca="1" si="442"/>
        <v>58.032600000001622</v>
      </c>
      <c r="D983" s="306">
        <f t="shared" ca="1" si="443"/>
        <v>-0.14688036727524939</v>
      </c>
      <c r="E983" s="307">
        <f t="shared" ca="1" si="444"/>
        <v>0.47867623805914938</v>
      </c>
      <c r="F983" s="304">
        <f t="shared" ca="1" si="445"/>
        <v>0.50070428715297777</v>
      </c>
      <c r="G983" s="306">
        <f t="shared" ca="1" si="446"/>
        <v>1.5076127897978577</v>
      </c>
      <c r="H983" s="307">
        <f t="shared" ca="1" si="447"/>
        <v>-105.6062444830324</v>
      </c>
      <c r="I983" s="304">
        <f t="shared" ca="1" si="448"/>
        <v>105.61700511818148</v>
      </c>
      <c r="J983" s="306">
        <f t="shared" ca="1" si="449"/>
        <v>809.6451793302748</v>
      </c>
      <c r="K983" s="307">
        <f t="shared" ca="1" si="450"/>
        <v>-9.2305973816225979</v>
      </c>
      <c r="L983" s="304">
        <f t="shared" ca="1" si="435"/>
        <v>809.69779568723936</v>
      </c>
      <c r="M983" s="306">
        <f t="shared" ca="1" si="451"/>
        <v>-1.5565215043786524</v>
      </c>
      <c r="N983" s="304">
        <f t="shared" ca="1" si="452"/>
        <v>-89.182112922250468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1.7842999999999964</v>
      </c>
      <c r="T983" s="304">
        <f t="shared" ca="1" si="436"/>
        <v>17.503982999999966</v>
      </c>
      <c r="U983" s="311">
        <f t="shared" ca="1" si="437"/>
        <v>0</v>
      </c>
      <c r="V983" s="306">
        <f t="shared" ca="1" si="438"/>
        <v>1.2261312702942797</v>
      </c>
      <c r="W983" s="304">
        <f t="shared" ca="1" si="439"/>
        <v>18.359958299641878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-0.48072410734489424</v>
      </c>
      <c r="AH983" s="304">
        <f t="shared" ca="1" si="463"/>
        <v>-10.289724611178565</v>
      </c>
    </row>
    <row r="984" spans="1:34" x14ac:dyDescent="0.2">
      <c r="A984" s="347">
        <f t="shared" ca="1" si="441"/>
        <v>1E-4</v>
      </c>
      <c r="B984" s="304">
        <f t="shared" ca="1" si="442"/>
        <v>58.032700000001626</v>
      </c>
      <c r="D984" s="306">
        <f t="shared" ca="1" si="443"/>
        <v>-0.14687902455594384</v>
      </c>
      <c r="E984" s="307">
        <f t="shared" ca="1" si="444"/>
        <v>0.47867775708115268</v>
      </c>
      <c r="F984" s="304">
        <f t="shared" ca="1" si="445"/>
        <v>0.50070534546652146</v>
      </c>
      <c r="G984" s="306">
        <f t="shared" ca="1" si="446"/>
        <v>1.5075981018954021</v>
      </c>
      <c r="H984" s="307">
        <f t="shared" ca="1" si="447"/>
        <v>-105.60619661525669</v>
      </c>
      <c r="I984" s="304">
        <f t="shared" ca="1" si="448"/>
        <v>105.61695704562356</v>
      </c>
      <c r="J984" s="306">
        <f t="shared" ca="1" si="449"/>
        <v>809.6451793302748</v>
      </c>
      <c r="K984" s="307">
        <f t="shared" ca="1" si="450"/>
        <v>-9.2411580036775121</v>
      </c>
      <c r="L984" s="304">
        <f t="shared" ca="1" si="435"/>
        <v>809.69791614774567</v>
      </c>
      <c r="M984" s="306">
        <f t="shared" ca="1" si="451"/>
        <v>-1.5565216369627148</v>
      </c>
      <c r="N984" s="304">
        <f t="shared" ca="1" si="452"/>
        <v>-89.182120518757671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1.7842999999999964</v>
      </c>
      <c r="T984" s="304">
        <f t="shared" ca="1" si="436"/>
        <v>17.503982999999966</v>
      </c>
      <c r="U984" s="311">
        <f t="shared" ca="1" si="437"/>
        <v>0</v>
      </c>
      <c r="V984" s="306">
        <f t="shared" ca="1" si="438"/>
        <v>1.2261325651661332</v>
      </c>
      <c r="W984" s="304">
        <f t="shared" ca="1" si="439"/>
        <v>18.359960975490385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-0.48072558847945501</v>
      </c>
      <c r="AH984" s="304">
        <f t="shared" ca="1" si="463"/>
        <v>-10.289726110879288</v>
      </c>
    </row>
    <row r="985" spans="1:34" x14ac:dyDescent="0.2">
      <c r="A985" s="347">
        <f t="shared" ca="1" si="441"/>
        <v>1E-4</v>
      </c>
      <c r="B985" s="304">
        <f t="shared" ca="1" si="442"/>
        <v>58.032800000001629</v>
      </c>
      <c r="D985" s="306">
        <f t="shared" ca="1" si="443"/>
        <v>-0.14687768184774455</v>
      </c>
      <c r="E985" s="307">
        <f t="shared" ca="1" si="444"/>
        <v>0.47867927606498917</v>
      </c>
      <c r="F985" s="304">
        <f t="shared" ca="1" si="445"/>
        <v>0.50070640375280739</v>
      </c>
      <c r="G985" s="306">
        <f t="shared" ca="1" si="446"/>
        <v>1.5075834141272173</v>
      </c>
      <c r="H985" s="307">
        <f t="shared" ca="1" si="447"/>
        <v>-105.60614874732909</v>
      </c>
      <c r="I985" s="304">
        <f t="shared" ca="1" si="448"/>
        <v>105.61690897291753</v>
      </c>
      <c r="J985" s="306">
        <f t="shared" ca="1" si="449"/>
        <v>809.6451793302748</v>
      </c>
      <c r="K985" s="307">
        <f t="shared" ca="1" si="450"/>
        <v>-9.2517186209456419</v>
      </c>
      <c r="L985" s="304">
        <f t="shared" ca="1" si="435"/>
        <v>809.69803674591799</v>
      </c>
      <c r="M985" s="306">
        <f t="shared" ca="1" si="451"/>
        <v>-1.5565217695456059</v>
      </c>
      <c r="N985" s="304">
        <f t="shared" ca="1" si="452"/>
        <v>-89.18212811519777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1.7842999999999964</v>
      </c>
      <c r="T985" s="304">
        <f t="shared" ca="1" si="436"/>
        <v>17.503982999999966</v>
      </c>
      <c r="U985" s="311">
        <f t="shared" ca="1" si="437"/>
        <v>0</v>
      </c>
      <c r="V985" s="306">
        <f t="shared" ca="1" si="438"/>
        <v>1.2261338600387675</v>
      </c>
      <c r="W985" s="304">
        <f t="shared" ca="1" si="439"/>
        <v>18.359963651271389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-0.48072706957652578</v>
      </c>
      <c r="AH985" s="304">
        <f t="shared" ca="1" si="463"/>
        <v>-10.289727610542185</v>
      </c>
    </row>
    <row r="986" spans="1:34" x14ac:dyDescent="0.2">
      <c r="A986" s="347">
        <f t="shared" ca="1" si="441"/>
        <v>1E-4</v>
      </c>
      <c r="B986" s="304">
        <f t="shared" ca="1" si="442"/>
        <v>58.032900000001632</v>
      </c>
      <c r="D986" s="306">
        <f t="shared" ca="1" si="443"/>
        <v>-0.14687633915065601</v>
      </c>
      <c r="E986" s="307">
        <f t="shared" ca="1" si="444"/>
        <v>0.47868079501065175</v>
      </c>
      <c r="F986" s="304">
        <f t="shared" ca="1" si="445"/>
        <v>0.50070746201182992</v>
      </c>
      <c r="G986" s="306">
        <f t="shared" ca="1" si="446"/>
        <v>1.5075687264933022</v>
      </c>
      <c r="H986" s="307">
        <f t="shared" ca="1" si="447"/>
        <v>-105.60610087924958</v>
      </c>
      <c r="I986" s="304">
        <f t="shared" ca="1" si="448"/>
        <v>105.61686090006339</v>
      </c>
      <c r="J986" s="306">
        <f t="shared" ca="1" si="449"/>
        <v>809.6451793302748</v>
      </c>
      <c r="K986" s="307">
        <f t="shared" ca="1" si="450"/>
        <v>-9.2622792334269715</v>
      </c>
      <c r="L986" s="304">
        <f t="shared" ca="1" si="435"/>
        <v>809.6981574817562</v>
      </c>
      <c r="M986" s="306">
        <f t="shared" ca="1" si="451"/>
        <v>-1.5565219021273262</v>
      </c>
      <c r="N986" s="304">
        <f t="shared" ca="1" si="452"/>
        <v>-89.18213571157078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1.7842999999999964</v>
      </c>
      <c r="T986" s="304">
        <f t="shared" ca="1" si="436"/>
        <v>17.503982999999966</v>
      </c>
      <c r="U986" s="311">
        <f t="shared" ca="1" si="437"/>
        <v>0</v>
      </c>
      <c r="V986" s="306">
        <f t="shared" ca="1" si="438"/>
        <v>1.2261351549121833</v>
      </c>
      <c r="W986" s="304">
        <f t="shared" ca="1" si="439"/>
        <v>18.359966326984917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-0.48072855063610298</v>
      </c>
      <c r="AH986" s="304">
        <f t="shared" ca="1" si="463"/>
        <v>-10.289729110167251</v>
      </c>
    </row>
    <row r="987" spans="1:34" x14ac:dyDescent="0.2">
      <c r="A987" s="347">
        <f t="shared" ca="1" si="441"/>
        <v>1E-4</v>
      </c>
      <c r="B987" s="304">
        <f t="shared" ca="1" si="442"/>
        <v>58.033000000001635</v>
      </c>
      <c r="D987" s="306">
        <f t="shared" ca="1" si="443"/>
        <v>-0.14687499646467392</v>
      </c>
      <c r="E987" s="307">
        <f t="shared" ca="1" si="444"/>
        <v>0.47868231391815286</v>
      </c>
      <c r="F987" s="304">
        <f t="shared" ca="1" si="445"/>
        <v>0.50070852024359946</v>
      </c>
      <c r="G987" s="306">
        <f t="shared" ca="1" si="446"/>
        <v>1.5075540389936557</v>
      </c>
      <c r="H987" s="307">
        <f t="shared" ca="1" si="447"/>
        <v>-105.60605301101819</v>
      </c>
      <c r="I987" s="304">
        <f t="shared" ca="1" si="448"/>
        <v>105.61681282706115</v>
      </c>
      <c r="J987" s="306">
        <f t="shared" ca="1" si="449"/>
        <v>809.6451793302748</v>
      </c>
      <c r="K987" s="307">
        <f t="shared" ca="1" si="450"/>
        <v>-9.2728398411214847</v>
      </c>
      <c r="L987" s="304">
        <f t="shared" ca="1" si="435"/>
        <v>809.69827835525996</v>
      </c>
      <c r="M987" s="306">
        <f t="shared" ca="1" si="451"/>
        <v>-1.5565220347078754</v>
      </c>
      <c r="N987" s="304">
        <f t="shared" ca="1" si="452"/>
        <v>-89.1821433078767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1.7842999999999964</v>
      </c>
      <c r="T987" s="304">
        <f t="shared" ca="1" si="436"/>
        <v>17.503982999999966</v>
      </c>
      <c r="U987" s="311">
        <f t="shared" ca="1" si="437"/>
        <v>0</v>
      </c>
      <c r="V987" s="306">
        <f t="shared" ca="1" si="438"/>
        <v>1.22613644978638</v>
      </c>
      <c r="W987" s="304">
        <f t="shared" ca="1" si="439"/>
        <v>18.359969002630958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-0.48073003165819728</v>
      </c>
      <c r="AH987" s="304">
        <f t="shared" ca="1" si="463"/>
        <v>-10.2897306097545</v>
      </c>
    </row>
    <row r="988" spans="1:34" x14ac:dyDescent="0.2">
      <c r="A988" s="347">
        <f t="shared" ca="1" si="441"/>
        <v>1E-4</v>
      </c>
      <c r="B988" s="304">
        <f t="shared" ca="1" si="442"/>
        <v>58.033100000001639</v>
      </c>
      <c r="D988" s="306">
        <f t="shared" ca="1" si="443"/>
        <v>-0.14687365378980044</v>
      </c>
      <c r="E988" s="307">
        <f t="shared" ca="1" si="444"/>
        <v>0.47868383278748716</v>
      </c>
      <c r="F988" s="304">
        <f t="shared" ca="1" si="445"/>
        <v>0.50070957844811115</v>
      </c>
      <c r="G988" s="306">
        <f t="shared" ca="1" si="446"/>
        <v>1.5075393516282767</v>
      </c>
      <c r="H988" s="307">
        <f t="shared" ca="1" si="447"/>
        <v>-105.60600514263491</v>
      </c>
      <c r="I988" s="304">
        <f t="shared" ca="1" si="448"/>
        <v>105.61676475391083</v>
      </c>
      <c r="J988" s="306">
        <f t="shared" ca="1" si="449"/>
        <v>809.6451793302748</v>
      </c>
      <c r="K988" s="307">
        <f t="shared" ca="1" si="450"/>
        <v>-9.2834004440291675</v>
      </c>
      <c r="L988" s="304">
        <f t="shared" ca="1" si="435"/>
        <v>809.69839936642893</v>
      </c>
      <c r="M988" s="306">
        <f t="shared" ca="1" si="451"/>
        <v>-1.5565221672872538</v>
      </c>
      <c r="N988" s="304">
        <f t="shared" ca="1" si="452"/>
        <v>-89.182150904115531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1.7842999999999964</v>
      </c>
      <c r="T988" s="304">
        <f t="shared" ca="1" si="436"/>
        <v>17.503982999999966</v>
      </c>
      <c r="U988" s="311">
        <f t="shared" ca="1" si="437"/>
        <v>0</v>
      </c>
      <c r="V988" s="306">
        <f t="shared" ca="1" si="438"/>
        <v>1.2261377446613586</v>
      </c>
      <c r="W988" s="304">
        <f t="shared" ca="1" si="439"/>
        <v>18.359971678209522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-0.48073151264280689</v>
      </c>
      <c r="AH988" s="304">
        <f t="shared" ca="1" si="463"/>
        <v>-10.289732109303925</v>
      </c>
    </row>
    <row r="989" spans="1:34" x14ac:dyDescent="0.2">
      <c r="A989" s="347">
        <f t="shared" ca="1" si="441"/>
        <v>1E-4</v>
      </c>
      <c r="B989" s="304">
        <f t="shared" ca="1" si="442"/>
        <v>58.033200000001642</v>
      </c>
      <c r="D989" s="306">
        <f t="shared" ca="1" si="443"/>
        <v>-0.14687231112603347</v>
      </c>
      <c r="E989" s="307">
        <f t="shared" ca="1" si="444"/>
        <v>0.47868535161866355</v>
      </c>
      <c r="F989" s="304">
        <f t="shared" ca="1" si="445"/>
        <v>0.50071063662537263</v>
      </c>
      <c r="G989" s="306">
        <f t="shared" ca="1" si="446"/>
        <v>1.507524664397164</v>
      </c>
      <c r="H989" s="307">
        <f t="shared" ca="1" si="447"/>
        <v>-105.60595727409975</v>
      </c>
      <c r="I989" s="304">
        <f t="shared" ca="1" si="448"/>
        <v>105.61671668061238</v>
      </c>
      <c r="J989" s="306">
        <f t="shared" ca="1" si="449"/>
        <v>809.6451793302748</v>
      </c>
      <c r="K989" s="307">
        <f t="shared" ca="1" si="450"/>
        <v>-9.2939610421500038</v>
      </c>
      <c r="L989" s="304">
        <f t="shared" ca="1" si="435"/>
        <v>809.698520515263</v>
      </c>
      <c r="M989" s="306">
        <f t="shared" ca="1" si="451"/>
        <v>-1.5565222998654611</v>
      </c>
      <c r="N989" s="304">
        <f t="shared" ca="1" si="452"/>
        <v>-89.182158500287272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1.7842999999999964</v>
      </c>
      <c r="T989" s="304">
        <f t="shared" ca="1" si="436"/>
        <v>17.503982999999966</v>
      </c>
      <c r="U989" s="311">
        <f t="shared" ca="1" si="437"/>
        <v>0</v>
      </c>
      <c r="V989" s="306">
        <f t="shared" ca="1" si="438"/>
        <v>1.2261390395371177</v>
      </c>
      <c r="W989" s="304">
        <f t="shared" ca="1" si="439"/>
        <v>18.359974353720585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-0.48073299358993715</v>
      </c>
      <c r="AH989" s="304">
        <f t="shared" ca="1" si="463"/>
        <v>-10.289733608815535</v>
      </c>
    </row>
    <row r="990" spans="1:34" x14ac:dyDescent="0.2">
      <c r="A990" s="347">
        <f t="shared" ca="1" si="441"/>
        <v>1E-4</v>
      </c>
      <c r="B990" s="304">
        <f t="shared" ca="1" si="442"/>
        <v>58.033300000001645</v>
      </c>
      <c r="D990" s="306">
        <f t="shared" ca="1" si="443"/>
        <v>-0.14687096847337505</v>
      </c>
      <c r="E990" s="307">
        <f t="shared" ca="1" si="444"/>
        <v>0.47868687041166424</v>
      </c>
      <c r="F990" s="304">
        <f t="shared" ca="1" si="445"/>
        <v>0.50071169477536726</v>
      </c>
      <c r="G990" s="306">
        <f t="shared" ca="1" si="446"/>
        <v>1.5075099773003167</v>
      </c>
      <c r="H990" s="307">
        <f t="shared" ca="1" si="447"/>
        <v>-105.6059094054127</v>
      </c>
      <c r="I990" s="304">
        <f t="shared" ca="1" si="448"/>
        <v>105.61666860716585</v>
      </c>
      <c r="J990" s="306">
        <f t="shared" ca="1" si="449"/>
        <v>809.6451793302748</v>
      </c>
      <c r="K990" s="307">
        <f t="shared" ca="1" si="450"/>
        <v>-9.3045216354839795</v>
      </c>
      <c r="L990" s="304">
        <f t="shared" ca="1" si="435"/>
        <v>809.69864180176194</v>
      </c>
      <c r="M990" s="306">
        <f t="shared" ca="1" si="451"/>
        <v>-1.5565224324424975</v>
      </c>
      <c r="N990" s="304">
        <f t="shared" ca="1" si="452"/>
        <v>-89.18216609639191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1.7842999999999964</v>
      </c>
      <c r="T990" s="304">
        <f t="shared" ca="1" si="436"/>
        <v>17.503982999999966</v>
      </c>
      <c r="U990" s="311">
        <f t="shared" ca="1" si="437"/>
        <v>0</v>
      </c>
      <c r="V990" s="306">
        <f t="shared" ca="1" si="438"/>
        <v>1.2261403344136581</v>
      </c>
      <c r="W990" s="304">
        <f t="shared" ca="1" si="439"/>
        <v>18.359977029164163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-0.4807344744995703</v>
      </c>
      <c r="AH990" s="304">
        <f t="shared" ca="1" si="463"/>
        <v>-10.289735108289314</v>
      </c>
    </row>
    <row r="991" spans="1:34" x14ac:dyDescent="0.2">
      <c r="A991" s="347">
        <f t="shared" ca="1" si="441"/>
        <v>1E-4</v>
      </c>
      <c r="B991" s="304">
        <f t="shared" ca="1" si="442"/>
        <v>58.033400000001649</v>
      </c>
      <c r="D991" s="306">
        <f t="shared" ca="1" si="443"/>
        <v>-0.14686962583182309</v>
      </c>
      <c r="E991" s="307">
        <f t="shared" ca="1" si="444"/>
        <v>0.47868838916650169</v>
      </c>
      <c r="F991" s="304">
        <f t="shared" ca="1" si="445"/>
        <v>0.50071275289810613</v>
      </c>
      <c r="G991" s="306">
        <f t="shared" ca="1" si="446"/>
        <v>1.5074952903377334</v>
      </c>
      <c r="H991" s="307">
        <f t="shared" ca="1" si="447"/>
        <v>-105.60586153657378</v>
      </c>
      <c r="I991" s="304">
        <f t="shared" ca="1" si="448"/>
        <v>105.61662053357125</v>
      </c>
      <c r="J991" s="306">
        <f t="shared" ca="1" si="449"/>
        <v>809.6451793302748</v>
      </c>
      <c r="K991" s="307">
        <f t="shared" ca="1" si="450"/>
        <v>-9.3150822240310784</v>
      </c>
      <c r="L991" s="304">
        <f t="shared" ca="1" si="435"/>
        <v>809.69876322592552</v>
      </c>
      <c r="M991" s="306">
        <f t="shared" ca="1" si="451"/>
        <v>-1.5565225650183629</v>
      </c>
      <c r="N991" s="304">
        <f t="shared" ca="1" si="452"/>
        <v>-89.182173692429473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1.7842999999999964</v>
      </c>
      <c r="T991" s="304">
        <f t="shared" ca="1" si="436"/>
        <v>17.503982999999966</v>
      </c>
      <c r="U991" s="311">
        <f t="shared" ca="1" si="437"/>
        <v>0</v>
      </c>
      <c r="V991" s="306">
        <f t="shared" ca="1" si="438"/>
        <v>1.2261416292909797</v>
      </c>
      <c r="W991" s="304">
        <f t="shared" ca="1" si="439"/>
        <v>18.359979704540269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-0.48073595537172054</v>
      </c>
      <c r="AH991" s="304">
        <f t="shared" ca="1" si="463"/>
        <v>-10.289736607725271</v>
      </c>
    </row>
    <row r="992" spans="1:34" x14ac:dyDescent="0.2">
      <c r="A992" s="347">
        <f t="shared" ca="1" si="441"/>
        <v>1E-4</v>
      </c>
      <c r="B992" s="304">
        <f t="shared" ca="1" si="442"/>
        <v>58.033500000001652</v>
      </c>
      <c r="D992" s="306">
        <f t="shared" ca="1" si="443"/>
        <v>-0.14686828320137993</v>
      </c>
      <c r="E992" s="307">
        <f t="shared" ca="1" si="444"/>
        <v>0.47868990788317944</v>
      </c>
      <c r="F992" s="304">
        <f t="shared" ca="1" si="445"/>
        <v>0.50071381099359302</v>
      </c>
      <c r="G992" s="306">
        <f t="shared" ca="1" si="446"/>
        <v>1.5074806035094133</v>
      </c>
      <c r="H992" s="307">
        <f t="shared" ca="1" si="447"/>
        <v>-105.60581366758299</v>
      </c>
      <c r="I992" s="304">
        <f t="shared" ca="1" si="448"/>
        <v>105.61657245982855</v>
      </c>
      <c r="J992" s="306">
        <f t="shared" ca="1" si="449"/>
        <v>809.6451793302748</v>
      </c>
      <c r="K992" s="307">
        <f t="shared" ca="1" si="450"/>
        <v>-9.3256428077912865</v>
      </c>
      <c r="L992" s="304">
        <f t="shared" ca="1" si="435"/>
        <v>809.69888478775329</v>
      </c>
      <c r="M992" s="306">
        <f t="shared" ca="1" si="451"/>
        <v>-1.5565226975930575</v>
      </c>
      <c r="N992" s="304">
        <f t="shared" ca="1" si="452"/>
        <v>-89.182181288399931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1.7842999999999964</v>
      </c>
      <c r="T992" s="304">
        <f t="shared" ca="1" si="436"/>
        <v>17.503982999999966</v>
      </c>
      <c r="U992" s="311">
        <f t="shared" ca="1" si="437"/>
        <v>0</v>
      </c>
      <c r="V992" s="306">
        <f t="shared" ca="1" si="438"/>
        <v>1.2261429241690824</v>
      </c>
      <c r="W992" s="304">
        <f t="shared" ca="1" si="439"/>
        <v>18.359982379848883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-0.48073743620638965</v>
      </c>
      <c r="AH992" s="304">
        <f t="shared" ca="1" si="463"/>
        <v>-10.289738107123412</v>
      </c>
    </row>
    <row r="993" spans="1:34" x14ac:dyDescent="0.2">
      <c r="A993" s="347">
        <f t="shared" ca="1" si="441"/>
        <v>1E-4</v>
      </c>
      <c r="B993" s="304">
        <f t="shared" ca="1" si="442"/>
        <v>58.033600000001655</v>
      </c>
      <c r="D993" s="306">
        <f t="shared" ca="1" si="443"/>
        <v>-0.14686694058204325</v>
      </c>
      <c r="E993" s="307">
        <f t="shared" ca="1" si="444"/>
        <v>0.47869142656169039</v>
      </c>
      <c r="F993" s="304">
        <f t="shared" ca="1" si="445"/>
        <v>0.50071486906182006</v>
      </c>
      <c r="G993" s="306">
        <f t="shared" ca="1" si="446"/>
        <v>1.507465916815355</v>
      </c>
      <c r="H993" s="307">
        <f t="shared" ca="1" si="447"/>
        <v>-105.60576579844033</v>
      </c>
      <c r="I993" s="304">
        <f t="shared" ca="1" si="448"/>
        <v>105.61652438593778</v>
      </c>
      <c r="J993" s="306">
        <f t="shared" ca="1" si="449"/>
        <v>809.6451793302748</v>
      </c>
      <c r="K993" s="307">
        <f t="shared" ca="1" si="450"/>
        <v>-9.3362033867645877</v>
      </c>
      <c r="L993" s="304">
        <f t="shared" ca="1" si="435"/>
        <v>809.69900648724524</v>
      </c>
      <c r="M993" s="306">
        <f t="shared" ca="1" si="451"/>
        <v>-1.556522830166581</v>
      </c>
      <c r="N993" s="304">
        <f t="shared" ca="1" si="452"/>
        <v>-89.182188884303301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1.7842999999999964</v>
      </c>
      <c r="T993" s="304">
        <f t="shared" ca="1" si="436"/>
        <v>17.503982999999966</v>
      </c>
      <c r="U993" s="311">
        <f t="shared" ca="1" si="437"/>
        <v>0</v>
      </c>
      <c r="V993" s="306">
        <f t="shared" ca="1" si="438"/>
        <v>1.2261442190479661</v>
      </c>
      <c r="W993" s="304">
        <f t="shared" ca="1" si="439"/>
        <v>18.359985055090021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-0.4807389170035723</v>
      </c>
      <c r="AH993" s="304">
        <f t="shared" ca="1" si="463"/>
        <v>-10.28973960648373</v>
      </c>
    </row>
    <row r="994" spans="1:34" x14ac:dyDescent="0.2">
      <c r="A994" s="347">
        <f t="shared" ca="1" si="441"/>
        <v>1E-4</v>
      </c>
      <c r="B994" s="304">
        <f t="shared" ca="1" si="442"/>
        <v>58.033700000001659</v>
      </c>
      <c r="D994" s="306">
        <f t="shared" ca="1" si="443"/>
        <v>-0.1468655979738154</v>
      </c>
      <c r="E994" s="307">
        <f t="shared" ca="1" si="444"/>
        <v>0.47869294520203987</v>
      </c>
      <c r="F994" s="304">
        <f t="shared" ca="1" si="445"/>
        <v>0.500715927102793</v>
      </c>
      <c r="G994" s="306">
        <f t="shared" ca="1" si="446"/>
        <v>1.5074512302555576</v>
      </c>
      <c r="H994" s="307">
        <f t="shared" ca="1" si="447"/>
        <v>-105.60571792914581</v>
      </c>
      <c r="I994" s="304">
        <f t="shared" ca="1" si="448"/>
        <v>105.61647631189892</v>
      </c>
      <c r="J994" s="306">
        <f t="shared" ca="1" si="449"/>
        <v>809.6451793302748</v>
      </c>
      <c r="K994" s="307">
        <f t="shared" ca="1" si="450"/>
        <v>-9.3467639609509678</v>
      </c>
      <c r="L994" s="304">
        <f t="shared" ca="1" si="435"/>
        <v>809.69912832440082</v>
      </c>
      <c r="M994" s="306">
        <f t="shared" ca="1" si="451"/>
        <v>-1.5565229627389336</v>
      </c>
      <c r="N994" s="304">
        <f t="shared" ca="1" si="452"/>
        <v>-89.182196480139595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1.7842999999999964</v>
      </c>
      <c r="T994" s="304">
        <f t="shared" ca="1" si="436"/>
        <v>17.503982999999966</v>
      </c>
      <c r="U994" s="311">
        <f t="shared" ca="1" si="437"/>
        <v>0</v>
      </c>
      <c r="V994" s="306">
        <f t="shared" ca="1" si="438"/>
        <v>1.2261455139276314</v>
      </c>
      <c r="W994" s="304">
        <f t="shared" ca="1" si="439"/>
        <v>18.359987730263683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-0.4807403977632756</v>
      </c>
      <c r="AH994" s="304">
        <f t="shared" ca="1" si="463"/>
        <v>-10.289741105806231</v>
      </c>
    </row>
    <row r="995" spans="1:34" x14ac:dyDescent="0.2">
      <c r="A995" s="347">
        <f t="shared" ca="1" si="441"/>
        <v>1E-4</v>
      </c>
      <c r="B995" s="304">
        <f t="shared" ca="1" si="442"/>
        <v>58.033800000001662</v>
      </c>
      <c r="D995" s="306">
        <f t="shared" ca="1" si="443"/>
        <v>-0.14686425537669417</v>
      </c>
      <c r="E995" s="307">
        <f t="shared" ca="1" si="444"/>
        <v>0.47869446380422964</v>
      </c>
      <c r="F995" s="304">
        <f t="shared" ca="1" si="445"/>
        <v>0.50071698511651241</v>
      </c>
      <c r="G995" s="306">
        <f t="shared" ca="1" si="446"/>
        <v>1.5074365438300199</v>
      </c>
      <c r="H995" s="307">
        <f t="shared" ca="1" si="447"/>
        <v>-105.60567005969943</v>
      </c>
      <c r="I995" s="304">
        <f t="shared" ca="1" si="448"/>
        <v>105.61642823771201</v>
      </c>
      <c r="J995" s="306">
        <f t="shared" ca="1" si="449"/>
        <v>809.6451793302748</v>
      </c>
      <c r="K995" s="307">
        <f t="shared" ca="1" si="450"/>
        <v>-9.3573245303504109</v>
      </c>
      <c r="L995" s="304">
        <f t="shared" ca="1" si="435"/>
        <v>809.69925029922013</v>
      </c>
      <c r="M995" s="306">
        <f t="shared" ca="1" si="451"/>
        <v>-1.5565230953101155</v>
      </c>
      <c r="N995" s="304">
        <f t="shared" ca="1" si="452"/>
        <v>-89.1822040759088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1.7842999999999964</v>
      </c>
      <c r="T995" s="304">
        <f t="shared" ca="1" si="436"/>
        <v>17.503982999999966</v>
      </c>
      <c r="U995" s="311">
        <f t="shared" ca="1" si="437"/>
        <v>0</v>
      </c>
      <c r="V995" s="306">
        <f t="shared" ca="1" si="438"/>
        <v>1.2261468088080774</v>
      </c>
      <c r="W995" s="304">
        <f t="shared" ca="1" si="439"/>
        <v>18.359990405369864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-0.48074187848549599</v>
      </c>
      <c r="AH995" s="304">
        <f t="shared" ca="1" si="463"/>
        <v>-10.289742605090915</v>
      </c>
    </row>
    <row r="996" spans="1:34" x14ac:dyDescent="0.2">
      <c r="A996" s="347">
        <f t="shared" ca="1" si="441"/>
        <v>1E-4</v>
      </c>
      <c r="B996" s="304">
        <f t="shared" ca="1" si="442"/>
        <v>58.033900000001665</v>
      </c>
      <c r="D996" s="306">
        <f t="shared" ca="1" si="443"/>
        <v>-0.14686291279067951</v>
      </c>
      <c r="E996" s="307">
        <f t="shared" ca="1" si="444"/>
        <v>0.47869598236825794</v>
      </c>
      <c r="F996" s="304">
        <f t="shared" ca="1" si="445"/>
        <v>0.50071804310297652</v>
      </c>
      <c r="G996" s="306">
        <f t="shared" ca="1" si="446"/>
        <v>1.5074218575387408</v>
      </c>
      <c r="H996" s="307">
        <f t="shared" ca="1" si="447"/>
        <v>-105.6056221901012</v>
      </c>
      <c r="I996" s="304">
        <f t="shared" ca="1" si="448"/>
        <v>105.61638016337703</v>
      </c>
      <c r="J996" s="306">
        <f t="shared" ca="1" si="449"/>
        <v>809.6451793302748</v>
      </c>
      <c r="K996" s="307">
        <f t="shared" ca="1" si="450"/>
        <v>-9.3678850949629009</v>
      </c>
      <c r="L996" s="304">
        <f t="shared" ca="1" si="435"/>
        <v>809.69937241170271</v>
      </c>
      <c r="M996" s="306">
        <f t="shared" ca="1" si="451"/>
        <v>-1.5565232278801262</v>
      </c>
      <c r="N996" s="304">
        <f t="shared" ca="1" si="452"/>
        <v>-89.182211671610901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1.7842999999999964</v>
      </c>
      <c r="T996" s="304">
        <f t="shared" ca="1" si="436"/>
        <v>17.503982999999966</v>
      </c>
      <c r="U996" s="311">
        <f t="shared" ca="1" si="437"/>
        <v>0</v>
      </c>
      <c r="V996" s="306">
        <f t="shared" ca="1" si="438"/>
        <v>1.2261481036893047</v>
      </c>
      <c r="W996" s="304">
        <f t="shared" ca="1" si="439"/>
        <v>18.359993080408572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-0.48074335917023703</v>
      </c>
      <c r="AH996" s="304">
        <f t="shared" ca="1" si="463"/>
        <v>-10.28974410433778</v>
      </c>
    </row>
    <row r="997" spans="1:34" x14ac:dyDescent="0.2">
      <c r="A997" s="347">
        <f t="shared" ca="1" si="441"/>
        <v>1E-4</v>
      </c>
      <c r="B997" s="304">
        <f t="shared" ca="1" si="442"/>
        <v>58.034000000001669</v>
      </c>
      <c r="D997" s="306">
        <f t="shared" ca="1" si="443"/>
        <v>-0.14686157021577378</v>
      </c>
      <c r="E997" s="307">
        <f t="shared" ca="1" si="444"/>
        <v>0.47869750089412832</v>
      </c>
      <c r="F997" s="304">
        <f t="shared" ca="1" si="445"/>
        <v>0.50071910106218898</v>
      </c>
      <c r="G997" s="306">
        <f t="shared" ca="1" si="446"/>
        <v>1.5074071713817192</v>
      </c>
      <c r="H997" s="307">
        <f t="shared" ca="1" si="447"/>
        <v>-105.60557432035111</v>
      </c>
      <c r="I997" s="304">
        <f t="shared" ca="1" si="448"/>
        <v>105.61633208889397</v>
      </c>
      <c r="J997" s="306">
        <f t="shared" ca="1" si="449"/>
        <v>809.6451793302748</v>
      </c>
      <c r="K997" s="307">
        <f t="shared" ca="1" si="450"/>
        <v>-9.3784456547884236</v>
      </c>
      <c r="L997" s="304">
        <f t="shared" ca="1" si="435"/>
        <v>809.69949466184835</v>
      </c>
      <c r="M997" s="306">
        <f t="shared" ca="1" si="451"/>
        <v>-1.5565233604489661</v>
      </c>
      <c r="N997" s="304">
        <f t="shared" ca="1" si="452"/>
        <v>-89.182219267245927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1.7842999999999964</v>
      </c>
      <c r="T997" s="304">
        <f t="shared" ca="1" si="436"/>
        <v>17.503982999999966</v>
      </c>
      <c r="U997" s="311">
        <f t="shared" ca="1" si="437"/>
        <v>0</v>
      </c>
      <c r="V997" s="306">
        <f t="shared" ca="1" si="438"/>
        <v>1.2261493985713134</v>
      </c>
      <c r="W997" s="304">
        <f t="shared" ca="1" si="439"/>
        <v>18.359995755379799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-0.48074483981749694</v>
      </c>
      <c r="AH997" s="304">
        <f t="shared" ca="1" si="463"/>
        <v>-10.28974560354683</v>
      </c>
    </row>
    <row r="998" spans="1:34" x14ac:dyDescent="0.2">
      <c r="A998" s="347">
        <f t="shared" ca="1" si="441"/>
        <v>1E-4</v>
      </c>
      <c r="B998" s="304">
        <f t="shared" ca="1" si="442"/>
        <v>58.034100000001672</v>
      </c>
      <c r="D998" s="306">
        <f t="shared" ca="1" si="443"/>
        <v>-0.14686022765197465</v>
      </c>
      <c r="E998" s="307">
        <f t="shared" ca="1" si="444"/>
        <v>0.47869901938183368</v>
      </c>
      <c r="F998" s="304">
        <f t="shared" ca="1" si="445"/>
        <v>0.50072015899414213</v>
      </c>
      <c r="G998" s="306">
        <f t="shared" ca="1" si="446"/>
        <v>1.507392485358954</v>
      </c>
      <c r="H998" s="307">
        <f t="shared" ca="1" si="447"/>
        <v>-105.60552645044918</v>
      </c>
      <c r="I998" s="304">
        <f t="shared" ca="1" si="448"/>
        <v>105.61628401426286</v>
      </c>
      <c r="J998" s="306">
        <f t="shared" ca="1" si="449"/>
        <v>809.6451793302748</v>
      </c>
      <c r="K998" s="307">
        <f t="shared" ca="1" si="450"/>
        <v>-9.3890062098269631</v>
      </c>
      <c r="L998" s="304">
        <f t="shared" ca="1" si="435"/>
        <v>809.69961704965692</v>
      </c>
      <c r="M998" s="306">
        <f t="shared" ca="1" si="451"/>
        <v>-1.5565234930166352</v>
      </c>
      <c r="N998" s="304">
        <f t="shared" ca="1" si="452"/>
        <v>-89.182226862813863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1.7842999999999964</v>
      </c>
      <c r="T998" s="304">
        <f t="shared" ca="1" si="436"/>
        <v>17.503982999999966</v>
      </c>
      <c r="U998" s="311">
        <f t="shared" ca="1" si="437"/>
        <v>0</v>
      </c>
      <c r="V998" s="306">
        <f t="shared" ca="1" si="438"/>
        <v>1.2261506934541031</v>
      </c>
      <c r="W998" s="304">
        <f t="shared" ca="1" si="439"/>
        <v>18.359998430283561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-0.48074632042727394</v>
      </c>
      <c r="AH998" s="304">
        <f t="shared" ca="1" si="463"/>
        <v>-10.28974710271806</v>
      </c>
    </row>
    <row r="999" spans="1:34" x14ac:dyDescent="0.2">
      <c r="A999" s="347">
        <f t="shared" ca="1" si="441"/>
        <v>1E-4</v>
      </c>
      <c r="B999" s="304">
        <f t="shared" ca="1" si="442"/>
        <v>58.034200000001675</v>
      </c>
      <c r="D999" s="306">
        <f t="shared" ca="1" si="443"/>
        <v>-0.14685888509928233</v>
      </c>
      <c r="E999" s="307">
        <f t="shared" ca="1" si="444"/>
        <v>0.47870053783138644</v>
      </c>
      <c r="F999" s="304">
        <f t="shared" ca="1" si="445"/>
        <v>0.50072121689884774</v>
      </c>
      <c r="G999" s="306">
        <f t="shared" ca="1" si="446"/>
        <v>1.507377799470444</v>
      </c>
      <c r="H999" s="307">
        <f t="shared" ca="1" si="447"/>
        <v>-105.6054785803954</v>
      </c>
      <c r="I999" s="304">
        <f t="shared" ca="1" si="448"/>
        <v>105.6162359394837</v>
      </c>
      <c r="J999" s="306">
        <f t="shared" ca="1" si="449"/>
        <v>809.6451793302748</v>
      </c>
      <c r="K999" s="307">
        <f t="shared" ca="1" si="450"/>
        <v>-9.3995667600785051</v>
      </c>
      <c r="L999" s="304">
        <f t="shared" ca="1" si="435"/>
        <v>809.69973957512798</v>
      </c>
      <c r="M999" s="306">
        <f t="shared" ca="1" si="451"/>
        <v>-1.5565236255831334</v>
      </c>
      <c r="N999" s="304">
        <f t="shared" ca="1" si="452"/>
        <v>-89.18223445831471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1.7842999999999964</v>
      </c>
      <c r="T999" s="304">
        <f t="shared" ca="1" si="436"/>
        <v>17.503982999999966</v>
      </c>
      <c r="U999" s="311">
        <f t="shared" ca="1" si="437"/>
        <v>0</v>
      </c>
      <c r="V999" s="306">
        <f t="shared" ca="1" si="438"/>
        <v>1.2261519883376741</v>
      </c>
      <c r="W999" s="304">
        <f t="shared" ca="1" si="439"/>
        <v>18.360001105119846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-0.48074780099957692</v>
      </c>
      <c r="AH999" s="304">
        <f t="shared" ca="1" si="463"/>
        <v>-10.28974860185148</v>
      </c>
    </row>
    <row r="1000" spans="1:34" x14ac:dyDescent="0.2">
      <c r="A1000" s="347">
        <f t="shared" ca="1" si="441"/>
        <v>1E-4</v>
      </c>
      <c r="B1000" s="304">
        <f t="shared" ca="1" si="442"/>
        <v>58.034300000001679</v>
      </c>
      <c r="D1000" s="306">
        <f t="shared" ca="1" si="443"/>
        <v>-0.14685754255769665</v>
      </c>
      <c r="E1000" s="307">
        <f t="shared" ca="1" si="444"/>
        <v>0.47870205624277951</v>
      </c>
      <c r="F1000" s="304">
        <f t="shared" ca="1" si="445"/>
        <v>0.50072227477629838</v>
      </c>
      <c r="G1000" s="306">
        <f t="shared" ca="1" si="446"/>
        <v>1.5073631137161883</v>
      </c>
      <c r="H1000" s="307">
        <f t="shared" ca="1" si="447"/>
        <v>-105.60543071018978</v>
      </c>
      <c r="I1000" s="304">
        <f t="shared" ca="1" si="448"/>
        <v>105.61618786455648</v>
      </c>
      <c r="J1000" s="306">
        <f t="shared" ca="1" si="449"/>
        <v>809.6451793302748</v>
      </c>
      <c r="K1000" s="307">
        <f t="shared" ca="1" si="450"/>
        <v>-9.4101273055430337</v>
      </c>
      <c r="L1000" s="304">
        <f t="shared" ca="1" si="435"/>
        <v>809.69986223826129</v>
      </c>
      <c r="M1000" s="306">
        <f t="shared" ca="1" si="451"/>
        <v>-1.5565237581484608</v>
      </c>
      <c r="N1000" s="304">
        <f t="shared" ca="1" si="452"/>
        <v>-89.182242053748482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1.7842999999999964</v>
      </c>
      <c r="T1000" s="304">
        <f t="shared" ca="1" si="436"/>
        <v>17.503982999999966</v>
      </c>
      <c r="U1000" s="311">
        <f t="shared" ca="1" si="437"/>
        <v>0</v>
      </c>
      <c r="V1000" s="306">
        <f t="shared" ca="1" si="438"/>
        <v>1.2261532832220259</v>
      </c>
      <c r="W1000" s="304">
        <f t="shared" ca="1" si="439"/>
        <v>18.360003779888654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-0.48074928153440055</v>
      </c>
      <c r="AH1000" s="304">
        <f t="shared" ca="1" si="463"/>
        <v>-10.289750100947083</v>
      </c>
    </row>
    <row r="1001" spans="1:34" x14ac:dyDescent="0.2">
      <c r="A1001" s="347">
        <f t="shared" ca="1" si="441"/>
        <v>1E-4</v>
      </c>
      <c r="B1001" s="304">
        <f t="shared" ca="1" si="442"/>
        <v>58.034400000001682</v>
      </c>
      <c r="D1001" s="306">
        <f t="shared" ca="1" si="443"/>
        <v>-0.14685620002721775</v>
      </c>
      <c r="E1001" s="307">
        <f t="shared" ca="1" si="444"/>
        <v>0.47870357461601465</v>
      </c>
      <c r="F1001" s="304">
        <f t="shared" ca="1" si="445"/>
        <v>0.50072333262649593</v>
      </c>
      <c r="G1001" s="306">
        <f t="shared" ca="1" si="446"/>
        <v>1.5073484280961855</v>
      </c>
      <c r="H1001" s="307">
        <f t="shared" ca="1" si="447"/>
        <v>-105.60538283983232</v>
      </c>
      <c r="I1001" s="304">
        <f t="shared" ca="1" si="448"/>
        <v>105.6161397894812</v>
      </c>
      <c r="J1001" s="306">
        <f t="shared" ca="1" si="449"/>
        <v>809.6451793302748</v>
      </c>
      <c r="K1001" s="307">
        <f t="shared" ca="1" si="450"/>
        <v>-9.4206878462205346</v>
      </c>
      <c r="L1001" s="304">
        <f t="shared" ca="1" si="435"/>
        <v>809.69998503905674</v>
      </c>
      <c r="M1001" s="306">
        <f t="shared" ca="1" si="451"/>
        <v>-1.5565238907126173</v>
      </c>
      <c r="N1001" s="304">
        <f t="shared" ca="1" si="452"/>
        <v>-89.182249649115164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1.7842999999999964</v>
      </c>
      <c r="T1001" s="304">
        <f t="shared" ca="1" si="436"/>
        <v>17.503982999999966</v>
      </c>
      <c r="U1001" s="311">
        <f t="shared" ca="1" si="437"/>
        <v>0</v>
      </c>
      <c r="V1001" s="306">
        <f t="shared" ca="1" si="438"/>
        <v>1.2261545781071592</v>
      </c>
      <c r="W1001" s="304">
        <f t="shared" ca="1" si="439"/>
        <v>18.360006454589989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-0.48075076203174305</v>
      </c>
      <c r="AH1001" s="304">
        <f t="shared" ca="1" si="463"/>
        <v>-10.289751600004871</v>
      </c>
    </row>
    <row r="1002" spans="1:34" x14ac:dyDescent="0.2">
      <c r="A1002" s="347">
        <f t="shared" ca="1" si="441"/>
        <v>1E-4</v>
      </c>
      <c r="B1002" s="304">
        <f t="shared" ca="1" si="442"/>
        <v>58.034500000001685</v>
      </c>
      <c r="D1002" s="306">
        <f t="shared" ca="1" si="443"/>
        <v>-0.14685485750784555</v>
      </c>
      <c r="E1002" s="307">
        <f t="shared" ca="1" si="444"/>
        <v>0.47870509295109009</v>
      </c>
      <c r="F1002" s="304">
        <f t="shared" ca="1" si="445"/>
        <v>0.50072439044943817</v>
      </c>
      <c r="G1002" s="306">
        <f t="shared" ca="1" si="446"/>
        <v>1.5073337426104347</v>
      </c>
      <c r="H1002" s="307">
        <f t="shared" ca="1" si="447"/>
        <v>-105.60533496932302</v>
      </c>
      <c r="I1002" s="304">
        <f t="shared" ca="1" si="448"/>
        <v>105.61609171425788</v>
      </c>
      <c r="J1002" s="306">
        <f t="shared" ca="1" si="449"/>
        <v>809.6451793302748</v>
      </c>
      <c r="K1002" s="307">
        <f t="shared" ca="1" si="450"/>
        <v>-9.4312483821109918</v>
      </c>
      <c r="L1002" s="304">
        <f t="shared" ca="1" si="435"/>
        <v>809.70010797751399</v>
      </c>
      <c r="M1002" s="306">
        <f t="shared" ca="1" si="451"/>
        <v>-1.556524023275603</v>
      </c>
      <c r="N1002" s="304">
        <f t="shared" ca="1" si="452"/>
        <v>-89.182257244414771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1.7842999999999964</v>
      </c>
      <c r="T1002" s="304">
        <f t="shared" ca="1" si="436"/>
        <v>17.503982999999966</v>
      </c>
      <c r="U1002" s="311">
        <f t="shared" ca="1" si="437"/>
        <v>0</v>
      </c>
      <c r="V1002" s="306">
        <f t="shared" ca="1" si="438"/>
        <v>1.2261558729930737</v>
      </c>
      <c r="W1002" s="304">
        <f t="shared" ca="1" si="439"/>
        <v>18.360009129223865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-0.4807522424916062</v>
      </c>
      <c r="AH1002" s="304">
        <f t="shared" ca="1" si="463"/>
        <v>-10.289753099024843</v>
      </c>
    </row>
    <row r="1003" spans="1:34" x14ac:dyDescent="0.2">
      <c r="A1003" s="347">
        <f t="shared" ca="1" si="441"/>
        <v>1E-4</v>
      </c>
      <c r="B1003" s="304">
        <f t="shared" ca="1" si="442"/>
        <v>58.034600000001689</v>
      </c>
      <c r="D1003" s="306">
        <f t="shared" ca="1" si="443"/>
        <v>-0.14685351499958027</v>
      </c>
      <c r="E1003" s="307">
        <f t="shared" ca="1" si="444"/>
        <v>0.47870661124801472</v>
      </c>
      <c r="F1003" s="304">
        <f t="shared" ca="1" si="445"/>
        <v>0.50072544824513343</v>
      </c>
      <c r="G1003" s="306">
        <f t="shared" ca="1" si="446"/>
        <v>1.5073190572589348</v>
      </c>
      <c r="H1003" s="307">
        <f t="shared" ca="1" si="447"/>
        <v>-105.6052870986619</v>
      </c>
      <c r="I1003" s="304">
        <f t="shared" ca="1" si="448"/>
        <v>105.61604363888652</v>
      </c>
      <c r="J1003" s="306">
        <f t="shared" ca="1" si="449"/>
        <v>809.6451793302748</v>
      </c>
      <c r="K1003" s="307">
        <f t="shared" ca="1" si="450"/>
        <v>-9.4418089132143912</v>
      </c>
      <c r="L1003" s="304">
        <f t="shared" ca="1" si="435"/>
        <v>809.70023105363282</v>
      </c>
      <c r="M1003" s="306">
        <f t="shared" ca="1" si="451"/>
        <v>-1.5565241558374179</v>
      </c>
      <c r="N1003" s="304">
        <f t="shared" ca="1" si="452"/>
        <v>-89.182264839647289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1.7842999999999964</v>
      </c>
      <c r="T1003" s="304">
        <f t="shared" ca="1" si="436"/>
        <v>17.503982999999966</v>
      </c>
      <c r="U1003" s="311">
        <f t="shared" ca="1" si="437"/>
        <v>0</v>
      </c>
      <c r="V1003" s="306">
        <f ca="1">Rho_moyen*(20000-Alt_rampe-pos_z)/(20000+Alt_rampe+pos_z)</f>
        <v>1.2261571678797691</v>
      </c>
      <c r="W1003" s="304">
        <f t="shared" ca="1" si="439"/>
        <v>18.360011803790272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-0.48075372291399709</v>
      </c>
      <c r="AH1003" s="304">
        <f t="shared" ca="1" si="463"/>
        <v>-10.289754598007006</v>
      </c>
    </row>
    <row r="1004" spans="1:34" x14ac:dyDescent="0.2">
      <c r="A1004" s="348">
        <f t="shared" ca="1" si="441"/>
        <v>1E-4</v>
      </c>
      <c r="B1004" s="305">
        <f t="shared" ca="1" si="442"/>
        <v>58.034700000001692</v>
      </c>
      <c r="D1004" s="308">
        <f t="shared" ca="1" si="443"/>
        <v>-0.1468521725024218</v>
      </c>
      <c r="E1004" s="309">
        <f t="shared" ca="1" si="444"/>
        <v>0.47870812950678321</v>
      </c>
      <c r="F1004" s="305">
        <f t="shared" ca="1" si="445"/>
        <v>0.50072650601357638</v>
      </c>
      <c r="G1004" s="308">
        <f t="shared" ca="1" si="446"/>
        <v>1.5073043720416845</v>
      </c>
      <c r="H1004" s="309">
        <f t="shared" ca="1" si="447"/>
        <v>-105.60523922784895</v>
      </c>
      <c r="I1004" s="305">
        <f t="shared" ca="1" si="448"/>
        <v>105.61599556336712</v>
      </c>
      <c r="J1004" s="308">
        <f t="shared" ca="1" si="449"/>
        <v>809.6451793302748</v>
      </c>
      <c r="K1004" s="309">
        <f t="shared" ca="1" si="450"/>
        <v>-9.4523694395307167</v>
      </c>
      <c r="L1004" s="305">
        <f t="shared" ca="1" si="435"/>
        <v>809.7003542674131</v>
      </c>
      <c r="M1004" s="308">
        <f t="shared" ca="1" si="451"/>
        <v>-1.5565242883980619</v>
      </c>
      <c r="N1004" s="305">
        <f t="shared" ca="1" si="452"/>
        <v>-89.182272434812717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1.7842999999999964</v>
      </c>
      <c r="T1004" s="305">
        <f t="shared" ca="1" si="436"/>
        <v>17.503982999999966</v>
      </c>
      <c r="U1004" s="313">
        <f t="shared" ca="1" si="437"/>
        <v>0</v>
      </c>
      <c r="V1004" s="308">
        <f t="shared" ca="1" si="438"/>
        <v>1.2261584627672455</v>
      </c>
      <c r="W1004" s="305">
        <f ca="1">1/2*Rho*Sref*Cx*vit_xz^2</f>
        <v>18.360014478289198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-0.48075520329891397</v>
      </c>
      <c r="AH1004" s="305">
        <f t="shared" ca="1" si="463"/>
        <v>-10.289756096951358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255</v>
      </c>
      <c r="J1034" s="301" t="s">
        <v>247</v>
      </c>
      <c r="T1034" s="300" t="s">
        <v>246</v>
      </c>
      <c r="Y1034" s="302" t="s">
        <v>249</v>
      </c>
    </row>
    <row r="1035" spans="5:25" x14ac:dyDescent="0.2">
      <c r="E1035" s="299" t="s">
        <v>259</v>
      </c>
    </row>
    <row r="1036" spans="5:25" x14ac:dyDescent="0.2">
      <c r="E1036" s="299"/>
      <c r="T1036" s="299" t="s">
        <v>252</v>
      </c>
    </row>
    <row r="1037" spans="5:25" x14ac:dyDescent="0.2">
      <c r="E1037" s="299"/>
      <c r="T1037" s="299" t="s">
        <v>256</v>
      </c>
    </row>
    <row r="1038" spans="5:25" x14ac:dyDescent="0.2">
      <c r="E1038" s="299"/>
      <c r="T1038" s="299" t="s">
        <v>257</v>
      </c>
    </row>
    <row r="1039" spans="5:25" x14ac:dyDescent="0.2">
      <c r="E1039" s="299"/>
      <c r="T1039" s="299" t="s">
        <v>263</v>
      </c>
    </row>
    <row r="1040" spans="5:25" x14ac:dyDescent="0.2">
      <c r="E1040" s="299" t="s">
        <v>258</v>
      </c>
      <c r="T1040" s="299" t="s">
        <v>248</v>
      </c>
    </row>
    <row r="1041" spans="5:20" x14ac:dyDescent="0.2">
      <c r="E1041" s="299"/>
      <c r="T1041" s="299" t="s">
        <v>264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261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254</v>
      </c>
    </row>
    <row r="1049" spans="5:20" x14ac:dyDescent="0.2">
      <c r="E1049" s="299"/>
    </row>
    <row r="1050" spans="5:20" x14ac:dyDescent="0.2">
      <c r="E1050" s="299" t="s">
        <v>262</v>
      </c>
    </row>
    <row r="1053" spans="5:20" x14ac:dyDescent="0.2">
      <c r="T1053" s="298" t="s">
        <v>267</v>
      </c>
    </row>
    <row r="1055" spans="5:20" x14ac:dyDescent="0.2">
      <c r="E1055" s="299" t="s">
        <v>251</v>
      </c>
    </row>
    <row r="1058" spans="5:20" x14ac:dyDescent="0.2">
      <c r="T1058" s="299" t="s">
        <v>268</v>
      </c>
    </row>
    <row r="1060" spans="5:20" x14ac:dyDescent="0.2">
      <c r="E1060" s="299" t="s">
        <v>260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250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253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265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00000000-0004-0000-0400-000000000000}"/>
    <hyperlink ref="Y1034" r:id="rId2" xr:uid="{00000000-0004-0000-0400-000001000000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425781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591" t="s">
        <v>280</v>
      </c>
      <c r="D2" s="591"/>
      <c r="M2" s="75"/>
    </row>
    <row r="3" spans="1:13" ht="12.75" customHeight="1" x14ac:dyDescent="0.2">
      <c r="A3" s="56"/>
      <c r="B3" s="2"/>
      <c r="C3" s="591"/>
      <c r="D3" s="591"/>
      <c r="M3" s="75"/>
    </row>
    <row r="4" spans="1:13" x14ac:dyDescent="0.2">
      <c r="A4" s="56"/>
      <c r="B4" s="2"/>
      <c r="C4" s="595" t="str">
        <f>IF(Lang="Français","Abaques de performance",IF(Lang="English","Performance charts",""))</f>
        <v>Abaques de performance</v>
      </c>
      <c r="D4" s="595"/>
      <c r="M4" s="75"/>
    </row>
    <row r="5" spans="1:13" x14ac:dyDescent="0.2">
      <c r="A5" s="56"/>
      <c r="B5" s="2"/>
      <c r="C5" s="595" t="str">
        <f>IF(Lang="Français","Calcul analytique simple",IF(Lang="English","Analytical computation",""))</f>
        <v>Calcul analytique simple</v>
      </c>
      <c r="D5" s="595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592" t="str">
        <f>IF(Lang="Français","Fusée",IF(Lang="English","Rocket",""))</f>
        <v>Fusée</v>
      </c>
      <c r="D7" s="592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593" t="str">
        <f>Nom</f>
        <v>SP02-Beta</v>
      </c>
      <c r="D8" s="593"/>
      <c r="M8" s="75"/>
    </row>
    <row r="9" spans="1:13" ht="15.75" x14ac:dyDescent="0.25">
      <c r="A9" s="59"/>
      <c r="B9" s="140" t="s">
        <v>4</v>
      </c>
      <c r="C9" s="593" t="str">
        <f>Club</f>
        <v>l'Aeroipsa</v>
      </c>
      <c r="D9" s="593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1.7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1,8599 kg ±1,7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20" t="str">
        <f>Propu</f>
        <v>Pandora (Pro24-6G BS)</v>
      </c>
      <c r="D12" s="621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592" t="str">
        <f>IF(Lang="Français","Traînée Aérdynamique",IF(Lang="English","Drag",""))</f>
        <v>Traînée Aérdynamique</v>
      </c>
      <c r="D14" s="592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84</v>
      </c>
      <c r="D15" s="655"/>
      <c r="M15" s="75"/>
    </row>
    <row r="16" spans="1:13" x14ac:dyDescent="0.2">
      <c r="A16" s="74"/>
      <c r="B16" s="140" t="s">
        <v>5</v>
      </c>
      <c r="C16" s="656">
        <f>Cx</f>
        <v>0.4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62</v>
      </c>
      <c r="C39" s="170" t="s">
        <v>284</v>
      </c>
      <c r="D39" s="134" t="s">
        <v>281</v>
      </c>
      <c r="E39" s="134" t="s">
        <v>285</v>
      </c>
      <c r="F39" s="134" t="s">
        <v>286</v>
      </c>
      <c r="G39" s="134" t="s">
        <v>13</v>
      </c>
      <c r="H39" s="134" t="s">
        <v>282</v>
      </c>
      <c r="I39" s="134" t="s">
        <v>283</v>
      </c>
      <c r="J39" s="134" t="s">
        <v>298</v>
      </c>
      <c r="K39" s="134" t="s">
        <v>299</v>
      </c>
      <c r="L39" s="134" t="s">
        <v>301</v>
      </c>
      <c r="M39" s="134" t="s">
        <v>289</v>
      </c>
    </row>
    <row r="40" spans="1:13" x14ac:dyDescent="0.2">
      <c r="B40" s="420" t="s">
        <v>290</v>
      </c>
      <c r="C40" s="170" t="s">
        <v>291</v>
      </c>
      <c r="D40" s="134" t="s">
        <v>292</v>
      </c>
      <c r="E40" s="134" t="s">
        <v>293</v>
      </c>
      <c r="F40" s="134" t="s">
        <v>294</v>
      </c>
      <c r="G40" s="134" t="s">
        <v>295</v>
      </c>
      <c r="H40" s="134" t="s">
        <v>296</v>
      </c>
      <c r="I40" s="134" t="s">
        <v>297</v>
      </c>
      <c r="J40" s="134" t="s">
        <v>287</v>
      </c>
      <c r="K40" s="134" t="s">
        <v>288</v>
      </c>
      <c r="L40" s="134"/>
      <c r="M40" s="134"/>
    </row>
    <row r="41" spans="1:13" x14ac:dyDescent="0.2">
      <c r="B41" s="425">
        <f t="shared" ref="B41:B49" ca="1" si="0">MAX(D_ref*0.5, Diam_propu)</f>
        <v>42</v>
      </c>
      <c r="C41" s="403">
        <f t="shared" ref="C41:C67" ca="1" si="1">1/2*Rho_moyen*PI()*D_var^2/4*Cx/10^6</f>
        <v>3.3943337825710927E-4</v>
      </c>
      <c r="D41" s="400">
        <f ca="1">MpropuPlein+0*MasseSans</f>
        <v>0.15989999999999999</v>
      </c>
      <c r="E41" s="400">
        <f t="shared" ref="E41:E67" ca="1" si="2">m_var - 0.5*m_poudre</f>
        <v>0.12209999999999999</v>
      </c>
      <c r="F41" s="400">
        <f t="shared" ref="F41:F67" ca="1" si="3">m_var - m_poudre</f>
        <v>8.43E-2</v>
      </c>
      <c r="G41" s="407">
        <f t="shared" ref="G41:G67" ca="1" si="4">MAX(0, (I_total/Temps_fin_propu)/m_prop-g)</f>
        <v>573.48238329238336</v>
      </c>
      <c r="H41" s="406">
        <f t="shared" ref="H41:H67" ca="1" si="5">Q_var/m_prop</f>
        <v>2.7799621478878729E-3</v>
      </c>
      <c r="I41" s="403">
        <f t="shared" ref="I41:I67" ca="1" si="6">Q_var/m_bal</f>
        <v>4.0264932177593036E-3</v>
      </c>
      <c r="J41" s="403">
        <f t="shared" ref="J41:J67" ca="1" si="7">1/(2*b_prop)*LN(  ((EXP(2*SQRT(a_prop*b_prop)*Temps_fin_propu)+1)^2)  /  (((1+1)^2)*EXP(2*SQRT(a_prop*b_prop)*Temps_fin_propu)))</f>
        <v>661.34633645610631</v>
      </c>
      <c r="K41" s="410">
        <f t="shared" ref="K41:K67" ca="1" si="8">SQRT(a_prop/b_prop)  *  (EXP(2*SQRT(a_prop*b_prop)*Temps_fin_propu)-1)/(EXP(2*SQRT(a_prop*b_prop)*Temps_fin_propu)+1)</f>
        <v>448.41131178464059</v>
      </c>
      <c r="L41" s="413">
        <f t="shared" ref="L41:L67" ca="1" si="9">alt_prop + 1/(2*b_bal) * LN(1+b_bal/g*V_prop^2)</f>
        <v>1210.8572728794215</v>
      </c>
      <c r="M41" s="416">
        <f t="shared" ref="M41:M67" ca="1" si="10">Temps_fin_propu + ATAN(SQRT(b_bal/g)*V_prop)/SQRT(b_bal*g)</f>
        <v>9.3519095904628387</v>
      </c>
    </row>
    <row r="42" spans="1:13" x14ac:dyDescent="0.2">
      <c r="B42" s="426">
        <f t="shared" ca="1" si="0"/>
        <v>42</v>
      </c>
      <c r="C42" s="404">
        <f t="shared" ca="1" si="1"/>
        <v>3.3943337825710927E-4</v>
      </c>
      <c r="D42" s="401">
        <f ca="1">MpropuPlein+0.25*MasseSans</f>
        <v>0.58489999999999998</v>
      </c>
      <c r="E42" s="401">
        <f t="shared" ca="1" si="2"/>
        <v>0.54710000000000003</v>
      </c>
      <c r="F42" s="401">
        <f t="shared" ca="1" si="3"/>
        <v>0.50929999999999997</v>
      </c>
      <c r="G42" s="408">
        <f t="shared" ca="1" si="4"/>
        <v>120.36729848290989</v>
      </c>
      <c r="H42" s="404">
        <f t="shared" ca="1" si="5"/>
        <v>6.2042291766972995E-4</v>
      </c>
      <c r="I42" s="404">
        <f t="shared" ca="1" si="6"/>
        <v>6.6647040694504077E-4</v>
      </c>
      <c r="J42" s="404">
        <f t="shared" ca="1" si="7"/>
        <v>229.6251909856181</v>
      </c>
      <c r="K42" s="411">
        <f t="shared" ca="1" si="8"/>
        <v>219.31949850659859</v>
      </c>
      <c r="L42" s="414">
        <f t="shared" ca="1" si="9"/>
        <v>1318.2839251490834</v>
      </c>
      <c r="M42" s="417">
        <f t="shared" ca="1" si="10"/>
        <v>15.177543609145443</v>
      </c>
    </row>
    <row r="43" spans="1:13" x14ac:dyDescent="0.2">
      <c r="B43" s="426">
        <f t="shared" ca="1" si="0"/>
        <v>42</v>
      </c>
      <c r="C43" s="404">
        <f t="shared" ca="1" si="1"/>
        <v>3.3943337825710927E-4</v>
      </c>
      <c r="D43" s="401">
        <f ca="1">MpropuPlein+0.5*MasseSans</f>
        <v>1.0099</v>
      </c>
      <c r="E43" s="401">
        <f t="shared" ca="1" si="2"/>
        <v>0.97210000000000008</v>
      </c>
      <c r="F43" s="401">
        <f t="shared" ca="1" si="3"/>
        <v>0.93430000000000002</v>
      </c>
      <c r="G43" s="408">
        <f t="shared" ca="1" si="4"/>
        <v>63.454067482769247</v>
      </c>
      <c r="H43" s="404">
        <f t="shared" ca="1" si="5"/>
        <v>3.491753711111092E-4</v>
      </c>
      <c r="I43" s="404">
        <f t="shared" ca="1" si="6"/>
        <v>3.6330234213540537E-4</v>
      </c>
      <c r="J43" s="404">
        <f t="shared" ca="1" si="7"/>
        <v>125.07671094690778</v>
      </c>
      <c r="K43" s="411">
        <f t="shared" ca="1" si="8"/>
        <v>123.28730481665201</v>
      </c>
      <c r="L43" s="414">
        <f t="shared" ca="1" si="9"/>
        <v>739.64326015311735</v>
      </c>
      <c r="M43" s="417">
        <f t="shared" ca="1" si="10"/>
        <v>12.781956257832844</v>
      </c>
    </row>
    <row r="44" spans="1:13" x14ac:dyDescent="0.2">
      <c r="B44" s="426">
        <f t="shared" ca="1" si="0"/>
        <v>42</v>
      </c>
      <c r="C44" s="404">
        <f t="shared" ca="1" si="1"/>
        <v>3.3943337825710927E-4</v>
      </c>
      <c r="D44" s="401">
        <f ca="1">MpropuPlein+0.75*MasseSans</f>
        <v>1.4348999999999998</v>
      </c>
      <c r="E44" s="401">
        <f t="shared" ca="1" si="2"/>
        <v>1.3970999999999998</v>
      </c>
      <c r="F44" s="401">
        <f t="shared" ca="1" si="3"/>
        <v>1.3593</v>
      </c>
      <c r="G44" s="408">
        <f t="shared" ca="1" si="4"/>
        <v>41.167023835086972</v>
      </c>
      <c r="H44" s="404">
        <f t="shared" ca="1" si="5"/>
        <v>2.4295567837456826E-4</v>
      </c>
      <c r="I44" s="404">
        <f t="shared" ca="1" si="6"/>
        <v>2.4971189454653814E-4</v>
      </c>
      <c r="J44" s="404">
        <f t="shared" ca="1" si="7"/>
        <v>81.790844000023782</v>
      </c>
      <c r="K44" s="411">
        <f t="shared" ca="1" si="8"/>
        <v>81.253357713050519</v>
      </c>
      <c r="L44" s="414">
        <f t="shared" ca="1" si="9"/>
        <v>392.83017649043666</v>
      </c>
      <c r="M44" s="417">
        <f t="shared" ca="1" si="10"/>
        <v>9.8605369881558964</v>
      </c>
    </row>
    <row r="45" spans="1:13" x14ac:dyDescent="0.2">
      <c r="B45" s="426">
        <f t="shared" ca="1" si="0"/>
        <v>42</v>
      </c>
      <c r="C45" s="404">
        <f t="shared" ca="1" si="1"/>
        <v>3.3943337825710927E-4</v>
      </c>
      <c r="D45" s="401">
        <f ca="1">MpropuPlein+1*MasseSans</f>
        <v>1.8598999999999999</v>
      </c>
      <c r="E45" s="401">
        <f t="shared" ca="1" si="2"/>
        <v>1.8220999999999998</v>
      </c>
      <c r="F45" s="401">
        <f t="shared" ca="1" si="3"/>
        <v>1.7843</v>
      </c>
      <c r="G45" s="408">
        <f t="shared" ca="1" si="4"/>
        <v>29.276768014927832</v>
      </c>
      <c r="H45" s="404">
        <f t="shared" ca="1" si="5"/>
        <v>1.8628690975089693E-4</v>
      </c>
      <c r="I45" s="404">
        <f t="shared" ca="1" si="6"/>
        <v>1.90233356642442E-4</v>
      </c>
      <c r="J45" s="404">
        <f t="shared" ca="1" si="7"/>
        <v>58.341870481356963</v>
      </c>
      <c r="K45" s="411">
        <f t="shared" ca="1" si="8"/>
        <v>58.131427216622413</v>
      </c>
      <c r="L45" s="414">
        <f t="shared" ca="1" si="9"/>
        <v>225.16921772122538</v>
      </c>
      <c r="M45" s="417">
        <f t="shared" ca="1" si="10"/>
        <v>7.801156583206498</v>
      </c>
    </row>
    <row r="46" spans="1:13" x14ac:dyDescent="0.2">
      <c r="B46" s="426">
        <f t="shared" ca="1" si="0"/>
        <v>42</v>
      </c>
      <c r="C46" s="404">
        <f t="shared" ca="1" si="1"/>
        <v>3.3943337825710927E-4</v>
      </c>
      <c r="D46" s="401">
        <f ca="1">MpropuPlein+1.25*MasseSans</f>
        <v>2.2848999999999999</v>
      </c>
      <c r="E46" s="401">
        <f t="shared" ca="1" si="2"/>
        <v>2.2471000000000001</v>
      </c>
      <c r="F46" s="401">
        <f t="shared" ca="1" si="3"/>
        <v>2.2092999999999998</v>
      </c>
      <c r="G46" s="408">
        <f t="shared" ca="1" si="4"/>
        <v>21.884183614436381</v>
      </c>
      <c r="H46" s="404">
        <f t="shared" ca="1" si="5"/>
        <v>1.5105397101023953E-4</v>
      </c>
      <c r="I46" s="404">
        <f t="shared" ca="1" si="6"/>
        <v>1.5363842767261544E-4</v>
      </c>
      <c r="J46" s="404">
        <f t="shared" ca="1" si="7"/>
        <v>43.672249463433474</v>
      </c>
      <c r="K46" s="411">
        <f t="shared" ca="1" si="8"/>
        <v>43.576469097649607</v>
      </c>
      <c r="L46" s="414">
        <f t="shared" ca="1" si="9"/>
        <v>139.04533349953397</v>
      </c>
      <c r="M46" s="417">
        <f t="shared" ca="1" si="10"/>
        <v>6.3987803446641749</v>
      </c>
    </row>
    <row r="47" spans="1:13" x14ac:dyDescent="0.2">
      <c r="B47" s="426">
        <f t="shared" ca="1" si="0"/>
        <v>42</v>
      </c>
      <c r="C47" s="404">
        <f t="shared" ca="1" si="1"/>
        <v>3.3943337825710927E-4</v>
      </c>
      <c r="D47" s="401">
        <f ca="1">MpropuPlein+1.5*MasseSans</f>
        <v>2.7098999999999998</v>
      </c>
      <c r="E47" s="401">
        <f t="shared" ca="1" si="2"/>
        <v>2.6720999999999999</v>
      </c>
      <c r="F47" s="401">
        <f t="shared" ca="1" si="3"/>
        <v>2.6342999999999996</v>
      </c>
      <c r="G47" s="408">
        <f t="shared" ca="1" si="4"/>
        <v>16.843194116986638</v>
      </c>
      <c r="H47" s="404">
        <f t="shared" ca="1" si="5"/>
        <v>1.2702869587856341E-4</v>
      </c>
      <c r="I47" s="404">
        <f t="shared" ca="1" si="6"/>
        <v>1.2885145133701906E-4</v>
      </c>
      <c r="J47" s="404">
        <f t="shared" ca="1" si="7"/>
        <v>33.638448041305715</v>
      </c>
      <c r="K47" s="411">
        <f t="shared" ca="1" si="8"/>
        <v>33.590616940255693</v>
      </c>
      <c r="L47" s="414">
        <f t="shared" ca="1" si="9"/>
        <v>90.725612707378531</v>
      </c>
      <c r="M47" s="417">
        <f t="shared" ca="1" si="10"/>
        <v>5.40735334773197</v>
      </c>
    </row>
    <row r="48" spans="1:13" x14ac:dyDescent="0.2">
      <c r="B48" s="426">
        <f t="shared" ca="1" si="0"/>
        <v>42</v>
      </c>
      <c r="C48" s="404">
        <f t="shared" ca="1" si="1"/>
        <v>3.3943337825710927E-4</v>
      </c>
      <c r="D48" s="401">
        <f ca="1">MpropuPlein+1.75*MasseSans</f>
        <v>3.1349</v>
      </c>
      <c r="E48" s="401">
        <f t="shared" ca="1" si="2"/>
        <v>3.0971000000000002</v>
      </c>
      <c r="F48" s="401">
        <f t="shared" ca="1" si="3"/>
        <v>3.0592999999999999</v>
      </c>
      <c r="G48" s="408">
        <f t="shared" ca="1" si="4"/>
        <v>13.185705660133673</v>
      </c>
      <c r="H48" s="404">
        <f t="shared" ca="1" si="5"/>
        <v>1.0959716452717357E-4</v>
      </c>
      <c r="I48" s="404">
        <f t="shared" ca="1" si="6"/>
        <v>1.1095132162818595E-4</v>
      </c>
      <c r="J48" s="404">
        <f t="shared" ca="1" si="7"/>
        <v>26.346043916569133</v>
      </c>
      <c r="K48" s="411">
        <f t="shared" ca="1" si="8"/>
        <v>26.320715538836847</v>
      </c>
      <c r="L48" s="414">
        <f t="shared" ca="1" si="9"/>
        <v>61.518320722826616</v>
      </c>
      <c r="M48" s="417">
        <f t="shared" ca="1" si="10"/>
        <v>4.6760747037306913</v>
      </c>
    </row>
    <row r="49" spans="2:13" x14ac:dyDescent="0.2">
      <c r="B49" s="427">
        <f t="shared" ca="1" si="0"/>
        <v>42</v>
      </c>
      <c r="C49" s="405">
        <f t="shared" ca="1" si="1"/>
        <v>3.3943337825710927E-4</v>
      </c>
      <c r="D49" s="402">
        <f ca="1">MpropuPlein+2*MasseSans</f>
        <v>3.5598999999999998</v>
      </c>
      <c r="E49" s="402">
        <f t="shared" ca="1" si="2"/>
        <v>3.5221</v>
      </c>
      <c r="F49" s="402">
        <f t="shared" ca="1" si="3"/>
        <v>3.4842999999999997</v>
      </c>
      <c r="G49" s="409">
        <f t="shared" ca="1" si="4"/>
        <v>10.410890945742596</v>
      </c>
      <c r="H49" s="405">
        <f t="shared" ca="1" si="5"/>
        <v>9.6372442082027566E-5</v>
      </c>
      <c r="I49" s="405">
        <f t="shared" ca="1" si="6"/>
        <v>9.7417954325720884E-5</v>
      </c>
      <c r="J49" s="405">
        <f t="shared" ca="1" si="7"/>
        <v>20.807869463617116</v>
      </c>
      <c r="K49" s="412">
        <f t="shared" ca="1" si="8"/>
        <v>20.793971904665256</v>
      </c>
      <c r="L49" s="415">
        <f t="shared" ca="1" si="9"/>
        <v>42.798879312398071</v>
      </c>
      <c r="M49" s="418">
        <f t="shared" ca="1" si="10"/>
        <v>4.1166448945086884</v>
      </c>
    </row>
    <row r="50" spans="2:13" x14ac:dyDescent="0.2">
      <c r="B50" s="425">
        <f t="shared" ref="B50:B58" si="11">D_ref</f>
        <v>84</v>
      </c>
      <c r="C50" s="403">
        <f t="shared" si="1"/>
        <v>1.3577335130284371E-3</v>
      </c>
      <c r="D50" s="400">
        <f ca="1">MpropuPlein+0*MasseSans</f>
        <v>0.15989999999999999</v>
      </c>
      <c r="E50" s="400">
        <f t="shared" ca="1" si="2"/>
        <v>0.12209999999999999</v>
      </c>
      <c r="F50" s="400">
        <f t="shared" ca="1" si="3"/>
        <v>8.43E-2</v>
      </c>
      <c r="G50" s="407">
        <f t="shared" ca="1" si="4"/>
        <v>573.48238329238336</v>
      </c>
      <c r="H50" s="403">
        <f t="shared" ca="1" si="5"/>
        <v>1.1119848591551492E-2</v>
      </c>
      <c r="I50" s="403">
        <f t="shared" ca="1" si="6"/>
        <v>1.6105972871037214E-2</v>
      </c>
      <c r="J50" s="403">
        <f t="shared" ca="1" si="7"/>
        <v>391.8626320384966</v>
      </c>
      <c r="K50" s="410">
        <f t="shared" ca="1" si="8"/>
        <v>227.07794870527417</v>
      </c>
      <c r="L50" s="413">
        <f t="shared" ca="1" si="9"/>
        <v>530.02138773946626</v>
      </c>
      <c r="M50" s="416">
        <f t="shared" ca="1" si="10"/>
        <v>5.679416221399558</v>
      </c>
    </row>
    <row r="51" spans="2:13" x14ac:dyDescent="0.2">
      <c r="B51" s="426">
        <f t="shared" si="11"/>
        <v>84</v>
      </c>
      <c r="C51" s="404">
        <f t="shared" si="1"/>
        <v>1.3577335130284371E-3</v>
      </c>
      <c r="D51" s="401">
        <f ca="1">MpropuPlein+0.25*MasseSans</f>
        <v>0.58489999999999998</v>
      </c>
      <c r="E51" s="401">
        <f t="shared" ca="1" si="2"/>
        <v>0.54710000000000003</v>
      </c>
      <c r="F51" s="401">
        <f t="shared" ca="1" si="3"/>
        <v>0.50929999999999997</v>
      </c>
      <c r="G51" s="408">
        <f t="shared" ca="1" si="4"/>
        <v>120.36729848290989</v>
      </c>
      <c r="H51" s="404">
        <f t="shared" ca="1" si="5"/>
        <v>2.4816916706789198E-3</v>
      </c>
      <c r="I51" s="404">
        <f t="shared" ca="1" si="6"/>
        <v>2.6658816277801631E-3</v>
      </c>
      <c r="J51" s="404">
        <f t="shared" ca="1" si="7"/>
        <v>204.06153135464237</v>
      </c>
      <c r="K51" s="411">
        <f t="shared" ca="1" si="8"/>
        <v>175.74625524925037</v>
      </c>
      <c r="L51" s="414">
        <f t="shared" ca="1" si="9"/>
        <v>624.18893482893043</v>
      </c>
      <c r="M51" s="417">
        <f t="shared" ca="1" si="10"/>
        <v>9.65804811509852</v>
      </c>
    </row>
    <row r="52" spans="2:13" x14ac:dyDescent="0.2">
      <c r="B52" s="426">
        <f t="shared" si="11"/>
        <v>84</v>
      </c>
      <c r="C52" s="404">
        <f t="shared" si="1"/>
        <v>1.3577335130284371E-3</v>
      </c>
      <c r="D52" s="401">
        <f ca="1">MpropuPlein+0.5*MasseSans</f>
        <v>1.0099</v>
      </c>
      <c r="E52" s="401">
        <f t="shared" ca="1" si="2"/>
        <v>0.97210000000000008</v>
      </c>
      <c r="F52" s="401">
        <f t="shared" ca="1" si="3"/>
        <v>0.93430000000000002</v>
      </c>
      <c r="G52" s="408">
        <f t="shared" ca="1" si="4"/>
        <v>63.454067482769247</v>
      </c>
      <c r="H52" s="404">
        <f t="shared" ca="1" si="5"/>
        <v>1.3967014844444368E-3</v>
      </c>
      <c r="I52" s="404">
        <f t="shared" ca="1" si="6"/>
        <v>1.4532093685416215E-3</v>
      </c>
      <c r="J52" s="404">
        <f t="shared" ca="1" si="7"/>
        <v>120.05025715117381</v>
      </c>
      <c r="K52" s="411">
        <f t="shared" ca="1" si="8"/>
        <v>113.77132180172762</v>
      </c>
      <c r="L52" s="414">
        <f t="shared" ca="1" si="9"/>
        <v>488.44557992256671</v>
      </c>
      <c r="M52" s="417">
        <f t="shared" ca="1" si="10"/>
        <v>9.9175886616169606</v>
      </c>
    </row>
    <row r="53" spans="2:13" x14ac:dyDescent="0.2">
      <c r="B53" s="426">
        <f t="shared" si="11"/>
        <v>84</v>
      </c>
      <c r="C53" s="404">
        <f t="shared" si="1"/>
        <v>1.3577335130284371E-3</v>
      </c>
      <c r="D53" s="401">
        <f ca="1">MpropuPlein+0.75*MasseSans</f>
        <v>1.4348999999999998</v>
      </c>
      <c r="E53" s="401">
        <f t="shared" ca="1" si="2"/>
        <v>1.3970999999999998</v>
      </c>
      <c r="F53" s="401">
        <f t="shared" ca="1" si="3"/>
        <v>1.3593</v>
      </c>
      <c r="G53" s="408">
        <f t="shared" ca="1" si="4"/>
        <v>41.167023835086972</v>
      </c>
      <c r="H53" s="404">
        <f t="shared" ca="1" si="5"/>
        <v>9.7182271349827306E-4</v>
      </c>
      <c r="I53" s="404">
        <f t="shared" ca="1" si="6"/>
        <v>9.9884757818615257E-4</v>
      </c>
      <c r="J53" s="404">
        <f t="shared" ca="1" si="7"/>
        <v>80.227468638792118</v>
      </c>
      <c r="K53" s="411">
        <f t="shared" ca="1" si="8"/>
        <v>78.206156319282385</v>
      </c>
      <c r="L53" s="414">
        <f t="shared" ca="1" si="9"/>
        <v>322.56714236592347</v>
      </c>
      <c r="M53" s="417">
        <f t="shared" ca="1" si="10"/>
        <v>8.7491377236185919</v>
      </c>
    </row>
    <row r="54" spans="2:13" x14ac:dyDescent="0.2">
      <c r="B54" s="426">
        <f t="shared" si="11"/>
        <v>84</v>
      </c>
      <c r="C54" s="404">
        <f t="shared" si="1"/>
        <v>1.3577335130284371E-3</v>
      </c>
      <c r="D54" s="401">
        <f ca="1">MpropuPlein+1*MasseSans</f>
        <v>1.8598999999999999</v>
      </c>
      <c r="E54" s="401">
        <f t="shared" ca="1" si="2"/>
        <v>1.8220999999999998</v>
      </c>
      <c r="F54" s="401">
        <f t="shared" ca="1" si="3"/>
        <v>1.7843</v>
      </c>
      <c r="G54" s="408">
        <f t="shared" ca="1" si="4"/>
        <v>29.276768014927832</v>
      </c>
      <c r="H54" s="404">
        <f t="shared" ca="1" si="5"/>
        <v>7.4514763900358771E-4</v>
      </c>
      <c r="I54" s="404">
        <f t="shared" ca="1" si="6"/>
        <v>7.6093342656976799E-4</v>
      </c>
      <c r="J54" s="404">
        <f t="shared" ca="1" si="7"/>
        <v>57.721258090363854</v>
      </c>
      <c r="K54" s="411">
        <f t="shared" ca="1" si="8"/>
        <v>56.907789390207881</v>
      </c>
      <c r="L54" s="414">
        <f t="shared" ca="1" si="9"/>
        <v>204.97708480417108</v>
      </c>
      <c r="M54" s="417">
        <f t="shared" ca="1" si="10"/>
        <v>7.3774651522734489</v>
      </c>
    </row>
    <row r="55" spans="2:13" x14ac:dyDescent="0.2">
      <c r="B55" s="426">
        <f t="shared" si="11"/>
        <v>84</v>
      </c>
      <c r="C55" s="404">
        <f t="shared" si="1"/>
        <v>1.3577335130284371E-3</v>
      </c>
      <c r="D55" s="401">
        <f ca="1">MpropuPlein+1.25*MasseSans</f>
        <v>2.2848999999999999</v>
      </c>
      <c r="E55" s="401">
        <f t="shared" ca="1" si="2"/>
        <v>2.2471000000000001</v>
      </c>
      <c r="F55" s="401">
        <f t="shared" ca="1" si="3"/>
        <v>2.2092999999999998</v>
      </c>
      <c r="G55" s="408">
        <f t="shared" ca="1" si="4"/>
        <v>21.884183614436381</v>
      </c>
      <c r="H55" s="404">
        <f t="shared" ca="1" si="5"/>
        <v>6.0421588404095813E-4</v>
      </c>
      <c r="I55" s="404">
        <f t="shared" ca="1" si="6"/>
        <v>6.1455371069046177E-4</v>
      </c>
      <c r="J55" s="404">
        <f t="shared" ca="1" si="7"/>
        <v>43.387897053800742</v>
      </c>
      <c r="K55" s="411">
        <f t="shared" ca="1" si="8"/>
        <v>43.01269832161956</v>
      </c>
      <c r="L55" s="414">
        <f t="shared" ca="1" si="9"/>
        <v>132.608284452335</v>
      </c>
      <c r="M55" s="417">
        <f t="shared" ca="1" si="10"/>
        <v>6.2260702899736193</v>
      </c>
    </row>
    <row r="56" spans="2:13" x14ac:dyDescent="0.2">
      <c r="B56" s="426">
        <f t="shared" si="11"/>
        <v>84</v>
      </c>
      <c r="C56" s="404">
        <f t="shared" si="1"/>
        <v>1.3577335130284371E-3</v>
      </c>
      <c r="D56" s="401">
        <f ca="1">MpropuPlein+1.5*MasseSans</f>
        <v>2.7098999999999998</v>
      </c>
      <c r="E56" s="401">
        <f t="shared" ca="1" si="2"/>
        <v>2.6720999999999999</v>
      </c>
      <c r="F56" s="401">
        <f t="shared" ca="1" si="3"/>
        <v>2.6342999999999996</v>
      </c>
      <c r="G56" s="408">
        <f t="shared" ca="1" si="4"/>
        <v>16.843194116986638</v>
      </c>
      <c r="H56" s="404">
        <f t="shared" ca="1" si="5"/>
        <v>5.0811478351425363E-4</v>
      </c>
      <c r="I56" s="404">
        <f t="shared" ca="1" si="6"/>
        <v>5.1540580534807623E-4</v>
      </c>
      <c r="J56" s="404">
        <f t="shared" ca="1" si="7"/>
        <v>33.495926474884477</v>
      </c>
      <c r="K56" s="411">
        <f t="shared" ca="1" si="8"/>
        <v>33.307183391383916</v>
      </c>
      <c r="L56" s="414">
        <f t="shared" ca="1" si="9"/>
        <v>88.452220923835199</v>
      </c>
      <c r="M56" s="417">
        <f t="shared" ca="1" si="10"/>
        <v>5.3314790789975213</v>
      </c>
    </row>
    <row r="57" spans="2:13" x14ac:dyDescent="0.2">
      <c r="B57" s="426">
        <f t="shared" si="11"/>
        <v>84</v>
      </c>
      <c r="C57" s="404">
        <f t="shared" si="1"/>
        <v>1.3577335130284371E-3</v>
      </c>
      <c r="D57" s="401">
        <f ca="1">MpropuPlein+1.75*MasseSans</f>
        <v>3.1349</v>
      </c>
      <c r="E57" s="401">
        <f t="shared" ca="1" si="2"/>
        <v>3.0971000000000002</v>
      </c>
      <c r="F57" s="401">
        <f t="shared" ca="1" si="3"/>
        <v>3.0592999999999999</v>
      </c>
      <c r="G57" s="408">
        <f t="shared" ca="1" si="4"/>
        <v>13.185705660133673</v>
      </c>
      <c r="H57" s="404">
        <f t="shared" ca="1" si="5"/>
        <v>4.3838865810869428E-4</v>
      </c>
      <c r="I57" s="404">
        <f t="shared" ca="1" si="6"/>
        <v>4.4380528651274378E-4</v>
      </c>
      <c r="J57" s="404">
        <f t="shared" ca="1" si="7"/>
        <v>26.270407570614314</v>
      </c>
      <c r="K57" s="411">
        <f t="shared" ca="1" si="8"/>
        <v>26.17002173074545</v>
      </c>
      <c r="L57" s="414">
        <f t="shared" ca="1" si="9"/>
        <v>60.647286193396937</v>
      </c>
      <c r="M57" s="417">
        <f t="shared" ca="1" si="10"/>
        <v>4.6406378548186566</v>
      </c>
    </row>
    <row r="58" spans="2:13" x14ac:dyDescent="0.2">
      <c r="B58" s="427">
        <f t="shared" si="11"/>
        <v>84</v>
      </c>
      <c r="C58" s="405">
        <f t="shared" si="1"/>
        <v>1.3577335130284371E-3</v>
      </c>
      <c r="D58" s="402">
        <f ca="1">MpropuPlein+2*MasseSans</f>
        <v>3.5598999999999998</v>
      </c>
      <c r="E58" s="402">
        <f t="shared" ca="1" si="2"/>
        <v>3.5221</v>
      </c>
      <c r="F58" s="402">
        <f t="shared" ca="1" si="3"/>
        <v>3.4842999999999997</v>
      </c>
      <c r="G58" s="409">
        <f t="shared" ca="1" si="4"/>
        <v>10.410890945742596</v>
      </c>
      <c r="H58" s="405">
        <f t="shared" ca="1" si="5"/>
        <v>3.8548976832811026E-4</v>
      </c>
      <c r="I58" s="405">
        <f t="shared" ca="1" si="6"/>
        <v>3.8967181730288354E-4</v>
      </c>
      <c r="J58" s="405">
        <f t="shared" ca="1" si="7"/>
        <v>20.766309958387296</v>
      </c>
      <c r="K58" s="412">
        <f t="shared" ca="1" si="8"/>
        <v>20.711074201607286</v>
      </c>
      <c r="L58" s="415">
        <f t="shared" ca="1" si="9"/>
        <v>42.444965843106978</v>
      </c>
      <c r="M58" s="418">
        <f t="shared" ca="1" si="10"/>
        <v>4.0993509388685148</v>
      </c>
    </row>
    <row r="59" spans="2:13" x14ac:dyDescent="0.2">
      <c r="B59" s="425">
        <f t="shared" ref="B59:B67" si="12">D_ref*1.5</f>
        <v>126</v>
      </c>
      <c r="C59" s="403">
        <f t="shared" si="1"/>
        <v>3.0549004043139831E-3</v>
      </c>
      <c r="D59" s="400">
        <f ca="1">MpropuPlein+0*MasseSans</f>
        <v>0.15989999999999999</v>
      </c>
      <c r="E59" s="400">
        <f t="shared" ca="1" si="2"/>
        <v>0.12209999999999999</v>
      </c>
      <c r="F59" s="400">
        <f t="shared" ca="1" si="3"/>
        <v>8.43E-2</v>
      </c>
      <c r="G59" s="407">
        <f t="shared" ca="1" si="4"/>
        <v>573.48238329238336</v>
      </c>
      <c r="H59" s="403">
        <f t="shared" ca="1" si="5"/>
        <v>2.5019659330990856E-2</v>
      </c>
      <c r="I59" s="403">
        <f t="shared" ca="1" si="6"/>
        <v>3.6238438959833724E-2</v>
      </c>
      <c r="J59" s="403">
        <f t="shared" ca="1" si="7"/>
        <v>275.09135589448704</v>
      </c>
      <c r="K59" s="410">
        <f t="shared" ca="1" si="8"/>
        <v>151.39764383342606</v>
      </c>
      <c r="L59" s="413">
        <f t="shared" ca="1" si="9"/>
        <v>336.49747119030712</v>
      </c>
      <c r="M59" s="416">
        <f t="shared" ca="1" si="10"/>
        <v>4.452958837153532</v>
      </c>
    </row>
    <row r="60" spans="2:13" x14ac:dyDescent="0.2">
      <c r="B60" s="426">
        <f t="shared" si="12"/>
        <v>126</v>
      </c>
      <c r="C60" s="404">
        <f t="shared" si="1"/>
        <v>3.0549004043139831E-3</v>
      </c>
      <c r="D60" s="401">
        <f ca="1">MpropuPlein+0.25*MasseSans</f>
        <v>0.58489999999999998</v>
      </c>
      <c r="E60" s="401">
        <f t="shared" ca="1" si="2"/>
        <v>0.54710000000000003</v>
      </c>
      <c r="F60" s="401">
        <f t="shared" ca="1" si="3"/>
        <v>0.50929999999999997</v>
      </c>
      <c r="G60" s="408">
        <f t="shared" ca="1" si="4"/>
        <v>120.36729848290989</v>
      </c>
      <c r="H60" s="404">
        <f t="shared" ca="1" si="5"/>
        <v>5.5838062590275687E-3</v>
      </c>
      <c r="I60" s="404">
        <f t="shared" ca="1" si="6"/>
        <v>5.9982336625053669E-3</v>
      </c>
      <c r="J60" s="404">
        <f t="shared" ca="1" si="7"/>
        <v>176.12712450127421</v>
      </c>
      <c r="K60" s="411">
        <f t="shared" ca="1" si="8"/>
        <v>136.16541440734821</v>
      </c>
      <c r="L60" s="414">
        <f t="shared" ca="1" si="9"/>
        <v>385.5705658314871</v>
      </c>
      <c r="M60" s="417">
        <f t="shared" ca="1" si="10"/>
        <v>7.2853505984419407</v>
      </c>
    </row>
    <row r="61" spans="2:13" x14ac:dyDescent="0.2">
      <c r="B61" s="426">
        <f t="shared" si="12"/>
        <v>126</v>
      </c>
      <c r="C61" s="404">
        <f t="shared" si="1"/>
        <v>3.0549004043139831E-3</v>
      </c>
      <c r="D61" s="401">
        <f ca="1">MpropuPlein+0.5*MasseSans</f>
        <v>1.0099</v>
      </c>
      <c r="E61" s="401">
        <f t="shared" ca="1" si="2"/>
        <v>0.97210000000000008</v>
      </c>
      <c r="F61" s="401">
        <f t="shared" ca="1" si="3"/>
        <v>0.93430000000000002</v>
      </c>
      <c r="G61" s="408">
        <f t="shared" ca="1" si="4"/>
        <v>63.454067482769247</v>
      </c>
      <c r="H61" s="404">
        <f t="shared" ca="1" si="5"/>
        <v>3.1425783399999822E-3</v>
      </c>
      <c r="I61" s="404">
        <f t="shared" ca="1" si="6"/>
        <v>3.2697210792186483E-3</v>
      </c>
      <c r="J61" s="404">
        <f t="shared" ca="1" si="7"/>
        <v>112.93387716043317</v>
      </c>
      <c r="K61" s="411">
        <f t="shared" ca="1" si="8"/>
        <v>101.30480698412866</v>
      </c>
      <c r="L61" s="414">
        <f t="shared" ca="1" si="9"/>
        <v>340.21237182543439</v>
      </c>
      <c r="M61" s="417">
        <f t="shared" ca="1" si="10"/>
        <v>8.0030287355453087</v>
      </c>
    </row>
    <row r="62" spans="2:13" x14ac:dyDescent="0.2">
      <c r="B62" s="426">
        <f t="shared" si="12"/>
        <v>126</v>
      </c>
      <c r="C62" s="404">
        <f t="shared" si="1"/>
        <v>3.0549004043139831E-3</v>
      </c>
      <c r="D62" s="401">
        <f ca="1">MpropuPlein+0.75*MasseSans</f>
        <v>1.4348999999999998</v>
      </c>
      <c r="E62" s="401">
        <f t="shared" ca="1" si="2"/>
        <v>1.3970999999999998</v>
      </c>
      <c r="F62" s="401">
        <f t="shared" ca="1" si="3"/>
        <v>1.3593</v>
      </c>
      <c r="G62" s="408">
        <f t="shared" ca="1" si="4"/>
        <v>41.167023835086972</v>
      </c>
      <c r="H62" s="404">
        <f t="shared" ca="1" si="5"/>
        <v>2.186601105371114E-3</v>
      </c>
      <c r="I62" s="404">
        <f t="shared" ca="1" si="6"/>
        <v>2.2474070509188428E-3</v>
      </c>
      <c r="J62" s="404">
        <f t="shared" ca="1" si="7"/>
        <v>77.821088540845707</v>
      </c>
      <c r="K62" s="411">
        <f t="shared" ca="1" si="8"/>
        <v>73.694443217625505</v>
      </c>
      <c r="L62" s="414">
        <f t="shared" ca="1" si="9"/>
        <v>257.65920936902984</v>
      </c>
      <c r="M62" s="417">
        <f t="shared" ca="1" si="10"/>
        <v>7.6566144673221563</v>
      </c>
    </row>
    <row r="63" spans="2:13" x14ac:dyDescent="0.2">
      <c r="B63" s="426">
        <f t="shared" si="12"/>
        <v>126</v>
      </c>
      <c r="C63" s="404">
        <f t="shared" si="1"/>
        <v>3.0549004043139831E-3</v>
      </c>
      <c r="D63" s="401">
        <f ca="1">MpropuPlein+1*MasseSans</f>
        <v>1.8598999999999999</v>
      </c>
      <c r="E63" s="401">
        <f t="shared" ca="1" si="2"/>
        <v>1.8220999999999998</v>
      </c>
      <c r="F63" s="401">
        <f t="shared" ca="1" si="3"/>
        <v>1.7843</v>
      </c>
      <c r="G63" s="408">
        <f t="shared" ca="1" si="4"/>
        <v>29.276768014927832</v>
      </c>
      <c r="H63" s="404">
        <f t="shared" ca="1" si="5"/>
        <v>1.6765821877580721E-3</v>
      </c>
      <c r="I63" s="404">
        <f t="shared" ca="1" si="6"/>
        <v>1.7121002097819779E-3</v>
      </c>
      <c r="J63" s="404">
        <f t="shared" ca="1" si="7"/>
        <v>56.732170117460356</v>
      </c>
      <c r="K63" s="411">
        <f t="shared" ca="1" si="8"/>
        <v>55.000213995852377</v>
      </c>
      <c r="L63" s="414">
        <f t="shared" ca="1" si="9"/>
        <v>180.53447215836667</v>
      </c>
      <c r="M63" s="417">
        <f t="shared" ca="1" si="10"/>
        <v>6.8484851635635815</v>
      </c>
    </row>
    <row r="64" spans="2:13" x14ac:dyDescent="0.2">
      <c r="B64" s="426">
        <f t="shared" si="12"/>
        <v>126</v>
      </c>
      <c r="C64" s="404">
        <f t="shared" si="1"/>
        <v>3.0549004043139831E-3</v>
      </c>
      <c r="D64" s="401">
        <f ca="1">MpropuPlein+1.25*MasseSans</f>
        <v>2.2848999999999999</v>
      </c>
      <c r="E64" s="401">
        <f t="shared" ca="1" si="2"/>
        <v>2.2471000000000001</v>
      </c>
      <c r="F64" s="401">
        <f t="shared" ca="1" si="3"/>
        <v>2.2092999999999998</v>
      </c>
      <c r="G64" s="408">
        <f t="shared" ca="1" si="4"/>
        <v>21.884183614436381</v>
      </c>
      <c r="H64" s="404">
        <f t="shared" ca="1" si="5"/>
        <v>1.3594857390921557E-3</v>
      </c>
      <c r="I64" s="404">
        <f t="shared" ca="1" si="6"/>
        <v>1.3827458490535387E-3</v>
      </c>
      <c r="J64" s="404">
        <f t="shared" ca="1" si="7"/>
        <v>42.926849347172244</v>
      </c>
      <c r="K64" s="411">
        <f t="shared" ca="1" si="8"/>
        <v>42.110999403825268</v>
      </c>
      <c r="L64" s="414">
        <f t="shared" ca="1" si="9"/>
        <v>123.60283156513358</v>
      </c>
      <c r="M64" s="417">
        <f t="shared" ca="1" si="10"/>
        <v>5.980611074045223</v>
      </c>
    </row>
    <row r="65" spans="2:13" x14ac:dyDescent="0.2">
      <c r="B65" s="426">
        <f t="shared" si="12"/>
        <v>126</v>
      </c>
      <c r="C65" s="404">
        <f t="shared" si="1"/>
        <v>3.0549004043139831E-3</v>
      </c>
      <c r="D65" s="401">
        <f ca="1">MpropuPlein+1.5*MasseSans</f>
        <v>2.7098999999999998</v>
      </c>
      <c r="E65" s="401">
        <f t="shared" ca="1" si="2"/>
        <v>2.6720999999999999</v>
      </c>
      <c r="F65" s="401">
        <f t="shared" ca="1" si="3"/>
        <v>2.6342999999999996</v>
      </c>
      <c r="G65" s="408">
        <f t="shared" ca="1" si="4"/>
        <v>16.843194116986638</v>
      </c>
      <c r="H65" s="404">
        <f t="shared" ca="1" si="5"/>
        <v>1.1432582629070705E-3</v>
      </c>
      <c r="I65" s="404">
        <f t="shared" ca="1" si="6"/>
        <v>1.1596630620331714E-3</v>
      </c>
      <c r="J65" s="404">
        <f t="shared" ca="1" si="7"/>
        <v>33.262621871898574</v>
      </c>
      <c r="K65" s="411">
        <f t="shared" ca="1" si="8"/>
        <v>32.847337545900793</v>
      </c>
      <c r="L65" s="414">
        <f t="shared" ca="1" si="9"/>
        <v>85.020169091151189</v>
      </c>
      <c r="M65" s="417">
        <f t="shared" ca="1" si="10"/>
        <v>5.2159880378179366</v>
      </c>
    </row>
    <row r="66" spans="2:13" x14ac:dyDescent="0.2">
      <c r="B66" s="426">
        <f t="shared" si="12"/>
        <v>126</v>
      </c>
      <c r="C66" s="404">
        <f t="shared" si="1"/>
        <v>3.0549004043139831E-3</v>
      </c>
      <c r="D66" s="401">
        <f ca="1">MpropuPlein+1.75*MasseSans</f>
        <v>3.1349</v>
      </c>
      <c r="E66" s="401">
        <f t="shared" ca="1" si="2"/>
        <v>3.0971000000000002</v>
      </c>
      <c r="F66" s="401">
        <f t="shared" ca="1" si="3"/>
        <v>3.0592999999999999</v>
      </c>
      <c r="G66" s="408">
        <f t="shared" ca="1" si="4"/>
        <v>13.185705660133673</v>
      </c>
      <c r="H66" s="404">
        <f t="shared" ca="1" si="5"/>
        <v>9.8637448074456193E-4</v>
      </c>
      <c r="I66" s="404">
        <f t="shared" ca="1" si="6"/>
        <v>9.9856189465367343E-4</v>
      </c>
      <c r="J66" s="404">
        <f t="shared" ca="1" si="7"/>
        <v>26.145875773670561</v>
      </c>
      <c r="K66" s="411">
        <f t="shared" ca="1" si="8"/>
        <v>25.923414711210871</v>
      </c>
      <c r="L66" s="414">
        <f t="shared" ca="1" si="9"/>
        <v>59.277151055434658</v>
      </c>
      <c r="M66" s="417">
        <f t="shared" ca="1" si="10"/>
        <v>4.5846533324657628</v>
      </c>
    </row>
    <row r="67" spans="2:13" x14ac:dyDescent="0.2">
      <c r="B67" s="427">
        <f t="shared" si="12"/>
        <v>126</v>
      </c>
      <c r="C67" s="405">
        <f t="shared" si="1"/>
        <v>3.0549004043139831E-3</v>
      </c>
      <c r="D67" s="402">
        <f ca="1">MpropuPlein+2*MasseSans</f>
        <v>3.5598999999999998</v>
      </c>
      <c r="E67" s="402">
        <f t="shared" ca="1" si="2"/>
        <v>3.5221</v>
      </c>
      <c r="F67" s="402">
        <f t="shared" ca="1" si="3"/>
        <v>3.4842999999999997</v>
      </c>
      <c r="G67" s="409">
        <f t="shared" ca="1" si="4"/>
        <v>10.410890945742596</v>
      </c>
      <c r="H67" s="405">
        <f t="shared" ca="1" si="5"/>
        <v>8.6735197873824793E-4</v>
      </c>
      <c r="I67" s="405">
        <f t="shared" ca="1" si="6"/>
        <v>8.7676158893148788E-4</v>
      </c>
      <c r="J67" s="405">
        <f t="shared" ca="1" si="7"/>
        <v>20.6976302910135</v>
      </c>
      <c r="K67" s="412">
        <f t="shared" ca="1" si="8"/>
        <v>20.574659990521745</v>
      </c>
      <c r="L67" s="415">
        <f t="shared" ca="1" si="9"/>
        <v>41.875267777179332</v>
      </c>
      <c r="M67" s="418">
        <f t="shared" ca="1" si="10"/>
        <v>4.0714499640035751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9:D9"/>
    <mergeCell ref="C2:D3"/>
    <mergeCell ref="C4:D4"/>
    <mergeCell ref="C5:D5"/>
    <mergeCell ref="C7:D7"/>
    <mergeCell ref="C8:D8"/>
    <mergeCell ref="C10:D10"/>
    <mergeCell ref="C12:D12"/>
    <mergeCell ref="C14:D14"/>
    <mergeCell ref="C15:D15"/>
    <mergeCell ref="C16:D16"/>
    <mergeCell ref="C11:D11"/>
  </mergeCells>
  <dataValidations count="3">
    <dataValidation type="decimal" errorStyle="warning" showErrorMessage="1" errorTitle="Cx" error="Le Cx est souvent compris entre 0 et 1._x000a_Cx may be between 0 &amp; 1." sqref="C16:D16" xr:uid="{00000000-0002-0000-0500-000000000000}">
      <formula1>0</formula1>
      <formula2>1</formula2>
    </dataValidation>
    <dataValidation operator="greaterThanOrEqual" sqref="C10:D11" xr:uid="{00000000-0002-0000-0500-000001000000}"/>
    <dataValidation sqref="C12:D12" xr:uid="{00000000-0002-0000-0500-000002000000}"/>
  </dataValidations>
  <hyperlinks>
    <hyperlink ref="B12" location="Stabilito!C17" display="Stabilito!C17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4" name="Spinner 31">
              <controlPr defaultSize="0" print="0" autoPict="0">
                <anchor moveWithCells="1" sizeWithCells="1">
                  <from>
                    <xdr:col>3</xdr:col>
                    <xdr:colOff>638175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5" name="Spinner 170">
              <controlPr defaultSize="0" print="0" autoPict="0">
                <anchor moveWithCells="1" sizeWithCells="1">
                  <from>
                    <xdr:col>3</xdr:col>
                    <xdr:colOff>638175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C2:H59"/>
  <sheetViews>
    <sheetView showGridLines="0" workbookViewId="0">
      <selection activeCell="G29" sqref="G29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42578125" customWidth="1"/>
  </cols>
  <sheetData>
    <row r="2" spans="3:8" x14ac:dyDescent="0.2">
      <c r="C2" s="591" t="s">
        <v>179</v>
      </c>
      <c r="D2" s="591"/>
    </row>
    <row r="3" spans="3:8" x14ac:dyDescent="0.2">
      <c r="C3" s="591"/>
      <c r="D3" s="591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419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123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153</v>
      </c>
    </row>
    <row r="30" spans="3:8" x14ac:dyDescent="0.2">
      <c r="C30" t="s">
        <v>300</v>
      </c>
    </row>
    <row r="31" spans="3:8" x14ac:dyDescent="0.2">
      <c r="C31" s="49" t="s">
        <v>111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103</v>
      </c>
      <c r="D34" t="s">
        <v>43</v>
      </c>
      <c r="E34" s="47" t="s">
        <v>102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104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105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106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107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108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109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110</v>
      </c>
      <c r="D41" t="s">
        <v>43</v>
      </c>
      <c r="E41" s="16">
        <v>40658</v>
      </c>
      <c r="F41" t="s">
        <v>53</v>
      </c>
    </row>
    <row r="42" spans="3:6" x14ac:dyDescent="0.2">
      <c r="C42" t="s">
        <v>180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327</v>
      </c>
      <c r="D43" t="s">
        <v>43</v>
      </c>
      <c r="E43" s="16">
        <v>41194</v>
      </c>
      <c r="F43" t="s">
        <v>331</v>
      </c>
    </row>
    <row r="44" spans="3:6" x14ac:dyDescent="0.2">
      <c r="C44" t="s">
        <v>328</v>
      </c>
      <c r="D44" t="s">
        <v>43</v>
      </c>
      <c r="E44" s="16">
        <v>41329</v>
      </c>
      <c r="F44" t="s">
        <v>332</v>
      </c>
    </row>
    <row r="45" spans="3:6" x14ac:dyDescent="0.2">
      <c r="C45" t="s">
        <v>416</v>
      </c>
      <c r="D45" t="s">
        <v>395</v>
      </c>
      <c r="E45" s="16">
        <v>41947</v>
      </c>
      <c r="F45" t="s">
        <v>415</v>
      </c>
    </row>
    <row r="46" spans="3:6" x14ac:dyDescent="0.2">
      <c r="C46" t="s">
        <v>420</v>
      </c>
      <c r="D46" t="s">
        <v>395</v>
      </c>
      <c r="E46" s="16">
        <v>41965</v>
      </c>
      <c r="F46" t="s">
        <v>418</v>
      </c>
    </row>
    <row r="47" spans="3:6" x14ac:dyDescent="0.2">
      <c r="C47" t="s">
        <v>542</v>
      </c>
      <c r="D47" t="s">
        <v>395</v>
      </c>
      <c r="E47" s="16">
        <v>43048</v>
      </c>
      <c r="F47" t="s">
        <v>543</v>
      </c>
    </row>
    <row r="48" spans="3:6" x14ac:dyDescent="0.2">
      <c r="C48" t="s">
        <v>547</v>
      </c>
      <c r="D48" t="s">
        <v>395</v>
      </c>
      <c r="E48" s="16">
        <v>44160</v>
      </c>
      <c r="F48" t="s">
        <v>548</v>
      </c>
    </row>
    <row r="49" spans="3:6" x14ac:dyDescent="0.2">
      <c r="E49" s="16"/>
    </row>
    <row r="51" spans="3:6" x14ac:dyDescent="0.2">
      <c r="C51" s="14" t="str">
        <f>IF(Lang="Français","Paramètres de référence :","Reference parameters:")</f>
        <v>Paramètres de référence :</v>
      </c>
    </row>
    <row r="52" spans="3:6" x14ac:dyDescent="0.2">
      <c r="C52" s="62" t="str">
        <f>IF(Lang="Français","Gravité g :","Gravity g")</f>
        <v>Gravité g :</v>
      </c>
      <c r="E52" s="62">
        <v>9.81</v>
      </c>
      <c r="F52" s="62" t="s">
        <v>7</v>
      </c>
    </row>
    <row r="53" spans="3:6" x14ac:dyDescent="0.2">
      <c r="C53" s="62" t="str">
        <f>IF(Lang="Français","Masse volumique de l'air ρ :","Air density ρ")</f>
        <v>Masse volumique de l'air ρ :</v>
      </c>
      <c r="E53" s="63">
        <v>1.2250000000000001</v>
      </c>
      <c r="F53" s="62" t="s">
        <v>8</v>
      </c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  <row r="59" spans="3:6" x14ac:dyDescent="0.2">
      <c r="C59" s="48"/>
    </row>
  </sheetData>
  <sheetProtection password="C6AC" sheet="1" objects="1" scenarios="1"/>
  <mergeCells count="1">
    <mergeCell ref="C2:D3"/>
  </mergeCells>
  <phoneticPr fontId="8" type="noConversion"/>
  <hyperlinks>
    <hyperlink ref="H13" r:id="rId1" xr:uid="{00000000-0004-0000-0600-000000000000}"/>
    <hyperlink ref="H22" r:id="rId2" xr:uid="{00000000-0004-0000-0600-000001000000}"/>
    <hyperlink ref="H26" r:id="rId3" xr:uid="{00000000-0004-0000-0600-000002000000}"/>
  </hyperlinks>
  <pageMargins left="0.39370078740157483" right="0.39370078740157483" top="0.39370078740157483" bottom="0.39370078740157483" header="0" footer="0"/>
  <pageSetup scale="73" firstPageNumber="0" orientation="portrait" horizontalDpi="300" verticalDpi="300" r:id="rId4"/>
  <headerFooter alignWithMargins="0"/>
  <drawing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42578125" defaultRowHeight="12.75" x14ac:dyDescent="0.2"/>
  <cols>
    <col min="1" max="2" width="2.140625" customWidth="1"/>
    <col min="3" max="3" width="12.42578125" customWidth="1"/>
    <col min="4" max="4" width="21" customWidth="1"/>
    <col min="7" max="7" width="26.4257812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429</v>
      </c>
      <c r="N3" s="75"/>
      <c r="O3" s="6"/>
      <c r="P3" s="273" t="s">
        <v>340</v>
      </c>
      <c r="Q3" s="441">
        <f>Long_ogive</f>
        <v>275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462</v>
      </c>
      <c r="E5" t="str">
        <f>Propu</f>
        <v>Pandora (Pro24-6G BS)</v>
      </c>
      <c r="G5" t="s">
        <v>459</v>
      </c>
      <c r="H5">
        <f>MasseSans</f>
        <v>1.7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455</v>
      </c>
      <c r="E6" s="2" t="str">
        <f>Trajecto!H32</f>
        <v>gris/rouge</v>
      </c>
      <c r="G6" t="s">
        <v>460</v>
      </c>
      <c r="H6">
        <f>D_ref</f>
        <v>84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457</v>
      </c>
      <c r="E7" s="2" t="str">
        <f>Trajecto!H33</f>
        <v>rose</v>
      </c>
      <c r="G7" t="s">
        <v>5</v>
      </c>
      <c r="H7">
        <f>Cx</f>
        <v>0.4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458</v>
      </c>
      <c r="E8" s="2">
        <f>S_para</f>
        <v>0.24</v>
      </c>
      <c r="G8" t="s">
        <v>461</v>
      </c>
      <c r="H8">
        <f>L_rampe</f>
        <v>0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456</v>
      </c>
      <c r="E9" s="2"/>
      <c r="G9" t="s">
        <v>147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454</v>
      </c>
      <c r="E11" s="243">
        <f>MasseSans</f>
        <v>1.7</v>
      </c>
      <c r="F11" s="246" t="s">
        <v>124</v>
      </c>
      <c r="G11" s="246" t="s">
        <v>126</v>
      </c>
      <c r="H11" s="662" t="e">
        <f ca="1">Vsortie_de_rampe</f>
        <v>#N/A</v>
      </c>
      <c r="I11" s="663"/>
      <c r="J11" s="76"/>
      <c r="N11" s="75"/>
      <c r="P11" s="48"/>
      <c r="Q11" s="436"/>
      <c r="R11" s="48"/>
      <c r="S11" s="48"/>
      <c r="T11" s="48"/>
      <c r="U11" s="440" t="str">
        <f>IF(RIGHT(Nb_diam,1)=",", "", X_j)</f>
        <v/>
      </c>
    </row>
    <row r="12" spans="2:21" ht="13.5" thickBot="1" x14ac:dyDescent="0.25">
      <c r="B12" s="74"/>
      <c r="C12" s="12"/>
      <c r="D12" s="276"/>
      <c r="E12" s="244"/>
      <c r="F12" s="6" t="s">
        <v>124</v>
      </c>
      <c r="G12" s="6" t="s">
        <v>127</v>
      </c>
      <c r="H12" s="664">
        <f>Finesse</f>
        <v>11.392857142857142</v>
      </c>
      <c r="I12" s="665"/>
      <c r="J12" s="76"/>
      <c r="N12" s="75"/>
      <c r="O12" s="6"/>
      <c r="P12" s="273" t="s">
        <v>341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0.4</v>
      </c>
      <c r="F13" s="6" t="s">
        <v>124</v>
      </c>
      <c r="G13" s="6" t="s">
        <v>433</v>
      </c>
      <c r="H13" s="664">
        <f>Cn</f>
        <v>15.399580575759524</v>
      </c>
      <c r="I13" s="665"/>
      <c r="J13" s="76"/>
      <c r="N13" s="75"/>
      <c r="O13" s="6"/>
      <c r="P13" s="48"/>
      <c r="Q13" s="436"/>
      <c r="R13" s="48"/>
      <c r="S13" s="48"/>
      <c r="T13" s="48"/>
      <c r="U13" s="440" t="str">
        <f>IF(RIGHT(Nb_diam,1)=",", "", X_r)</f>
        <v/>
      </c>
    </row>
    <row r="14" spans="2:21" x14ac:dyDescent="0.2">
      <c r="B14" s="74"/>
      <c r="C14" s="12"/>
      <c r="D14" s="276" t="s">
        <v>144</v>
      </c>
      <c r="E14" s="244">
        <f>L_rampe</f>
        <v>0</v>
      </c>
      <c r="F14" s="6" t="s">
        <v>124</v>
      </c>
      <c r="G14" s="6" t="s">
        <v>128</v>
      </c>
      <c r="H14" s="247">
        <f ca="1">MS_min</f>
        <v>1.953954241530516</v>
      </c>
      <c r="I14" s="254">
        <f ca="1">MS_max</f>
        <v>2.0383236590229838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145</v>
      </c>
      <c r="E15" s="244">
        <f>ep_ail</f>
        <v>3</v>
      </c>
      <c r="F15" s="6" t="s">
        <v>124</v>
      </c>
      <c r="G15" s="6" t="s">
        <v>125</v>
      </c>
      <c r="H15" s="247">
        <f ca="1">MS_Cn_min</f>
        <v>30.090075783796266</v>
      </c>
      <c r="I15" s="254">
        <f ca="1">MS_Cn_max</f>
        <v>31.389329426601421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146</v>
      </c>
      <c r="E16" s="244">
        <f>Q_ail</f>
        <v>3</v>
      </c>
      <c r="F16" s="6" t="s">
        <v>129</v>
      </c>
      <c r="G16" s="6" t="s">
        <v>130</v>
      </c>
      <c r="H16" s="247">
        <f ca="1">V_para</f>
        <v>10.912136100952658</v>
      </c>
      <c r="I16" s="253">
        <f>V_satellite</f>
        <v>10.960038730752361</v>
      </c>
      <c r="J16" s="76"/>
      <c r="N16" s="75"/>
      <c r="P16" s="48"/>
      <c r="Q16" s="436"/>
      <c r="R16" s="48"/>
      <c r="S16" s="48"/>
      <c r="T16" s="48"/>
      <c r="U16" s="440" t="str">
        <f>IF(RIGHT(Nb_diam,1)=",", "", l_j)</f>
        <v/>
      </c>
    </row>
    <row r="17" spans="2:21" x14ac:dyDescent="0.2">
      <c r="B17" s="74"/>
      <c r="C17" s="12"/>
      <c r="D17" s="276" t="s">
        <v>147</v>
      </c>
      <c r="E17" s="272" t="str">
        <f>Forme_ogive</f>
        <v>Conique (droite)</v>
      </c>
      <c r="F17" s="6" t="s">
        <v>131</v>
      </c>
      <c r="G17" s="6" t="s">
        <v>132</v>
      </c>
      <c r="H17" s="664">
        <f>T_para</f>
        <v>23</v>
      </c>
      <c r="I17" s="665"/>
      <c r="J17" s="258"/>
      <c r="N17" s="75"/>
      <c r="P17" s="434" t="s">
        <v>342</v>
      </c>
      <c r="Q17" s="440" t="str">
        <f>IF(RIGHT(Nb_diam,1)=",", "", D2j)</f>
        <v/>
      </c>
      <c r="R17" s="48"/>
      <c r="S17" s="48"/>
      <c r="T17" s="48"/>
      <c r="U17" s="436"/>
    </row>
    <row r="18" spans="2:21" x14ac:dyDescent="0.2">
      <c r="B18" s="74"/>
      <c r="C18" s="12"/>
      <c r="D18" s="276" t="s">
        <v>149</v>
      </c>
      <c r="E18" s="244">
        <f ca="1">XpropuRef-Long_propu</f>
        <v>679</v>
      </c>
      <c r="F18" s="12" t="s">
        <v>131</v>
      </c>
      <c r="G18" s="12" t="s">
        <v>427</v>
      </c>
      <c r="H18" s="594">
        <f ca="1">T_para-Combustion-Depotage</f>
        <v>22.03</v>
      </c>
      <c r="I18" s="670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133</v>
      </c>
      <c r="G19" s="274" t="s">
        <v>426</v>
      </c>
      <c r="H19" s="671">
        <f ca="1">Portee_balistique</f>
        <v>809.6451793302748</v>
      </c>
      <c r="I19" s="672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 t="str">
        <f>IF(RIGHT(Nb_diam,1)=",", "", l_r)</f>
        <v/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453</v>
      </c>
      <c r="D22" s="528" t="s">
        <v>437</v>
      </c>
      <c r="E22" s="529"/>
      <c r="F22" s="530" t="s">
        <v>442</v>
      </c>
      <c r="G22" s="528" t="s">
        <v>447</v>
      </c>
      <c r="I22" s="531"/>
      <c r="J22" s="532" t="s">
        <v>157</v>
      </c>
      <c r="K22" s="528" t="s">
        <v>158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452</v>
      </c>
      <c r="D23" s="529">
        <f>XcgSans</f>
        <v>610</v>
      </c>
      <c r="E23" s="529" t="s">
        <v>39</v>
      </c>
      <c r="F23" s="530">
        <f>m_ail</f>
        <v>190</v>
      </c>
      <c r="G23" s="528">
        <f>m_can</f>
        <v>70</v>
      </c>
      <c r="I23" s="531" t="s">
        <v>448</v>
      </c>
      <c r="J23" s="530">
        <f>l_j</f>
        <v>50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440</v>
      </c>
      <c r="D24" s="528">
        <f>Long_tot</f>
        <v>957</v>
      </c>
      <c r="E24" s="529" t="s">
        <v>443</v>
      </c>
      <c r="F24" s="530">
        <f>n_ail</f>
        <v>80</v>
      </c>
      <c r="G24" s="528">
        <f>n_can</f>
        <v>10</v>
      </c>
      <c r="I24" s="531" t="s">
        <v>449</v>
      </c>
      <c r="J24" s="530">
        <f>D1j</f>
        <v>84</v>
      </c>
      <c r="K24" s="528">
        <f>D1r</f>
        <v>84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441</v>
      </c>
      <c r="D25" s="528">
        <f>XpropuRef</f>
        <v>907</v>
      </c>
      <c r="E25" s="529" t="s">
        <v>444</v>
      </c>
      <c r="F25" s="530">
        <f>p_ail</f>
        <v>180</v>
      </c>
      <c r="G25" s="528">
        <f>p_can</f>
        <v>40</v>
      </c>
      <c r="I25" s="531" t="s">
        <v>450</v>
      </c>
      <c r="J25" s="530">
        <f>D2j</f>
        <v>64</v>
      </c>
      <c r="K25" s="528">
        <f>D2r</f>
        <v>45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438</v>
      </c>
      <c r="D26" s="528">
        <f>D_ref</f>
        <v>84</v>
      </c>
      <c r="E26" s="529" t="s">
        <v>445</v>
      </c>
      <c r="F26" s="530">
        <f>E_ail</f>
        <v>130</v>
      </c>
      <c r="G26" s="528">
        <f>E_can</f>
        <v>50</v>
      </c>
      <c r="I26" s="531" t="s">
        <v>451</v>
      </c>
      <c r="J26" s="530">
        <f>X_j</f>
        <v>500</v>
      </c>
      <c r="K26" s="528">
        <f>X_r</f>
        <v>857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439</v>
      </c>
      <c r="D27" s="528">
        <f>Long_ogive</f>
        <v>275</v>
      </c>
      <c r="E27" s="529" t="s">
        <v>446</v>
      </c>
      <c r="F27" s="530">
        <f>X_ail</f>
        <v>957</v>
      </c>
      <c r="G27" s="528">
        <f>X_can</f>
        <v>700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67" t="s">
        <v>142</v>
      </c>
      <c r="D29" s="667" t="s">
        <v>134</v>
      </c>
      <c r="E29" s="667" t="s">
        <v>135</v>
      </c>
      <c r="F29" s="667"/>
      <c r="G29" s="667"/>
      <c r="H29" s="668" t="s">
        <v>136</v>
      </c>
      <c r="I29" s="668"/>
      <c r="J29" s="668"/>
      <c r="K29" s="668"/>
      <c r="L29" s="667" t="s">
        <v>137</v>
      </c>
      <c r="M29" s="667" t="s">
        <v>138</v>
      </c>
      <c r="N29" s="75"/>
      <c r="O29" s="273" t="s">
        <v>430</v>
      </c>
      <c r="P29" s="441">
        <f>n_ail</f>
        <v>80</v>
      </c>
      <c r="Q29" s="2"/>
      <c r="R29" s="48"/>
      <c r="S29" s="48"/>
      <c r="T29" s="48"/>
      <c r="U29" s="12" t="s">
        <v>434</v>
      </c>
    </row>
    <row r="30" spans="2:21" ht="13.5" thickBot="1" x14ac:dyDescent="0.25">
      <c r="B30" s="74"/>
      <c r="C30" s="667"/>
      <c r="D30" s="667"/>
      <c r="E30" s="667"/>
      <c r="F30" s="667"/>
      <c r="G30" s="667"/>
      <c r="H30" s="668" t="s">
        <v>139</v>
      </c>
      <c r="I30" s="668"/>
      <c r="J30" s="69" t="s">
        <v>140</v>
      </c>
      <c r="K30" s="70" t="s">
        <v>141</v>
      </c>
      <c r="L30" s="667"/>
      <c r="M30" s="667"/>
      <c r="N30" s="75"/>
      <c r="P30" s="12"/>
      <c r="R30" s="48"/>
      <c r="S30" s="48"/>
      <c r="T30" s="226" t="s">
        <v>432</v>
      </c>
      <c r="U30" s="525">
        <f>[0]!p_can</f>
        <v>40</v>
      </c>
    </row>
    <row r="31" spans="2:21" ht="13.5" thickBot="1" x14ac:dyDescent="0.25">
      <c r="B31" s="74"/>
      <c r="C31" s="83">
        <f>Beta_rampe</f>
        <v>80.569999999999993</v>
      </c>
      <c r="D31" s="84">
        <f ca="1">Portee_balistique</f>
        <v>809.6451793302748</v>
      </c>
      <c r="E31" s="666">
        <f ca="1">T_para+Dt_para</f>
        <v>295.26540379064238</v>
      </c>
      <c r="F31" s="666"/>
      <c r="G31" s="666"/>
      <c r="H31" s="669">
        <f ca="1">Altitude_culmi</f>
        <v>2971.9988762080079</v>
      </c>
      <c r="I31" s="669"/>
      <c r="J31" s="85">
        <f ca="1">Temps_culmi</f>
        <v>23.400000000000048</v>
      </c>
      <c r="K31" s="86">
        <f ca="1">Vit_culmi</f>
        <v>16.852662862048767</v>
      </c>
      <c r="L31" s="84">
        <f ca="1">Acc_max</f>
        <v>105.55959828125872</v>
      </c>
      <c r="M31" s="86">
        <f ca="1">Vit_max</f>
        <v>188.00645566729168</v>
      </c>
      <c r="N31" s="75"/>
      <c r="O31" s="273" t="s">
        <v>436</v>
      </c>
      <c r="P31" s="441">
        <f>ep_ail</f>
        <v>3</v>
      </c>
      <c r="Q31" s="2"/>
      <c r="R31" s="48"/>
      <c r="S31" s="48"/>
      <c r="T31" s="226" t="s">
        <v>344</v>
      </c>
      <c r="U31" s="525">
        <f>[0]!m_can</f>
        <v>70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435</v>
      </c>
      <c r="P32" s="524">
        <f>Q_ail</f>
        <v>3</v>
      </c>
      <c r="Q32" s="2"/>
      <c r="R32" s="48"/>
      <c r="S32" s="48"/>
      <c r="T32" s="226" t="s">
        <v>430</v>
      </c>
      <c r="U32" s="525">
        <f>[0]!n_can</f>
        <v>10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431</v>
      </c>
      <c r="U33" s="525">
        <f>[0]!E_can</f>
        <v>50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431</v>
      </c>
      <c r="Q34" s="441">
        <f>E_ail</f>
        <v>130</v>
      </c>
      <c r="T34" s="226" t="s">
        <v>436</v>
      </c>
      <c r="U34" s="525">
        <f>[0]!ep_can</f>
        <v>2</v>
      </c>
    </row>
    <row r="35" spans="2:21" x14ac:dyDescent="0.2">
      <c r="O35" s="2"/>
      <c r="P35" s="6"/>
      <c r="Q35" s="6"/>
      <c r="T35" s="226" t="s">
        <v>435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196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150</v>
      </c>
      <c r="E40" s="246">
        <f>D_ref</f>
        <v>84</v>
      </c>
      <c r="F40" s="265"/>
      <c r="G40" s="265"/>
      <c r="H40" s="261" t="s">
        <v>199</v>
      </c>
      <c r="I40" s="261" t="s">
        <v>200</v>
      </c>
      <c r="J40" s="262" t="s">
        <v>201</v>
      </c>
      <c r="N40" s="75"/>
    </row>
    <row r="41" spans="2:21" x14ac:dyDescent="0.2">
      <c r="B41" s="74"/>
      <c r="D41" s="276" t="s">
        <v>148</v>
      </c>
      <c r="E41" s="6">
        <f>Long_ogive</f>
        <v>275</v>
      </c>
      <c r="F41" s="2"/>
      <c r="G41" s="2" t="s">
        <v>202</v>
      </c>
      <c r="H41" s="6">
        <f>MasseSans</f>
        <v>1.7</v>
      </c>
      <c r="I41" s="6">
        <f ca="1">MasseVide</f>
        <v>1.7843</v>
      </c>
      <c r="J41" s="244">
        <f ca="1">MassePlein</f>
        <v>1.8598999999999999</v>
      </c>
      <c r="N41" s="75"/>
    </row>
    <row r="42" spans="2:21" x14ac:dyDescent="0.2">
      <c r="B42" s="74"/>
      <c r="D42" s="276" t="s">
        <v>151</v>
      </c>
      <c r="E42" s="6">
        <f>X_ail-m_ail</f>
        <v>767</v>
      </c>
      <c r="F42" s="255"/>
      <c r="G42" s="255" t="s">
        <v>219</v>
      </c>
      <c r="H42" s="263">
        <f>XcgSans</f>
        <v>610</v>
      </c>
      <c r="I42" s="263">
        <f ca="1">XcgVide</f>
        <v>618.64591156195706</v>
      </c>
      <c r="J42" s="245">
        <f ca="1">XcgPlein</f>
        <v>625.73294263132436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190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80</v>
      </c>
      <c r="F44" s="246" t="s">
        <v>203</v>
      </c>
      <c r="G44" s="246" t="s">
        <v>208</v>
      </c>
      <c r="H44" s="662" t="e">
        <f ca="1">Vsortie_de_rampe</f>
        <v>#N/A</v>
      </c>
      <c r="I44" s="663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180</v>
      </c>
      <c r="F45" s="6" t="s">
        <v>204</v>
      </c>
      <c r="G45" s="6" t="s">
        <v>209</v>
      </c>
      <c r="H45" s="664">
        <f>Finesse</f>
        <v>11.392857142857142</v>
      </c>
      <c r="I45" s="665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130</v>
      </c>
      <c r="F46" s="6" t="s">
        <v>205</v>
      </c>
      <c r="G46" s="6" t="s">
        <v>210</v>
      </c>
      <c r="H46" s="664">
        <f>Cn</f>
        <v>15.399580575759524</v>
      </c>
      <c r="I46" s="665"/>
      <c r="N46" s="75"/>
    </row>
    <row r="47" spans="2:21" x14ac:dyDescent="0.2">
      <c r="B47" s="74"/>
      <c r="D47" s="276" t="s">
        <v>145</v>
      </c>
      <c r="E47" s="244">
        <f>ep_ail</f>
        <v>3</v>
      </c>
      <c r="F47" s="6" t="s">
        <v>206</v>
      </c>
      <c r="G47" s="6" t="s">
        <v>211</v>
      </c>
      <c r="H47" s="247">
        <f ca="1">MS_min</f>
        <v>1.953954241530516</v>
      </c>
      <c r="I47" s="254">
        <f ca="1">MS_max</f>
        <v>2.0383236590229838</v>
      </c>
      <c r="N47" s="75"/>
    </row>
    <row r="48" spans="2:21" x14ac:dyDescent="0.2">
      <c r="B48" s="74"/>
      <c r="D48" s="276" t="s">
        <v>146</v>
      </c>
      <c r="E48" s="244">
        <f>Q_ail</f>
        <v>3</v>
      </c>
      <c r="F48" s="274" t="s">
        <v>207</v>
      </c>
      <c r="G48" s="274" t="s">
        <v>212</v>
      </c>
      <c r="H48" s="256">
        <f ca="1">MS_Cn_min</f>
        <v>30.090075783796266</v>
      </c>
      <c r="I48" s="264">
        <f ca="1">MS_Cn_max</f>
        <v>31.389329426601421</v>
      </c>
      <c r="N48" s="75"/>
    </row>
    <row r="49" spans="2:14" x14ac:dyDescent="0.2">
      <c r="B49" s="74"/>
      <c r="D49" s="276" t="s">
        <v>149</v>
      </c>
      <c r="E49" s="244">
        <f ca="1">XpropuRef-Long_propu</f>
        <v>679</v>
      </c>
      <c r="N49" s="75"/>
    </row>
    <row r="50" spans="2:14" x14ac:dyDescent="0.2">
      <c r="B50" s="74"/>
      <c r="D50" s="276" t="s">
        <v>147</v>
      </c>
      <c r="E50" s="272" t="str">
        <f>Forme_ogive</f>
        <v>Conique (droite)</v>
      </c>
      <c r="F50" s="273" t="s">
        <v>184</v>
      </c>
      <c r="G50" s="275" t="s">
        <v>5</v>
      </c>
      <c r="H50" s="246">
        <f>Cx</f>
        <v>0.4</v>
      </c>
      <c r="I50" s="265"/>
      <c r="J50" s="266"/>
      <c r="N50" s="75"/>
    </row>
    <row r="51" spans="2:14" x14ac:dyDescent="0.2">
      <c r="B51" s="74"/>
      <c r="D51" s="276" t="s">
        <v>143</v>
      </c>
      <c r="E51" s="244">
        <f>Long_tot</f>
        <v>957</v>
      </c>
      <c r="G51" s="276" t="s">
        <v>213</v>
      </c>
      <c r="H51" s="6">
        <f>Sref</f>
        <v>6.711769440932395E-3</v>
      </c>
      <c r="J51" s="267"/>
      <c r="N51" s="75"/>
    </row>
    <row r="52" spans="2:14" x14ac:dyDescent="0.2">
      <c r="B52" s="74"/>
      <c r="D52" s="276" t="s">
        <v>197</v>
      </c>
      <c r="E52" s="244">
        <f>MAX(D_ref,D_ail,D_og,(RIGHT(Nb_diam,1)=",")*MAX(D1j,D1r,D2j,D2r))</f>
        <v>84</v>
      </c>
      <c r="G52" s="276" t="s">
        <v>214</v>
      </c>
      <c r="H52" s="6">
        <f>Beta_rampe</f>
        <v>80.569999999999993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198</v>
      </c>
      <c r="E53" s="260">
        <f>E_ail*2+D_ail</f>
        <v>344</v>
      </c>
      <c r="G53" s="278" t="s">
        <v>216</v>
      </c>
      <c r="H53" s="247">
        <f ca="1">Temps_culmi</f>
        <v>23.400000000000048</v>
      </c>
      <c r="I53" s="259"/>
      <c r="J53" s="268"/>
      <c r="N53" s="75"/>
    </row>
    <row r="54" spans="2:14" x14ac:dyDescent="0.2">
      <c r="B54" s="74"/>
      <c r="G54" s="278" t="s">
        <v>217</v>
      </c>
      <c r="H54" s="242">
        <f ca="1">Altitude_culmi</f>
        <v>2971.9988762080079</v>
      </c>
      <c r="I54" s="259"/>
      <c r="J54" s="268"/>
      <c r="N54" s="75"/>
    </row>
    <row r="55" spans="2:14" x14ac:dyDescent="0.2">
      <c r="B55" s="74"/>
      <c r="C55" s="275" t="s">
        <v>234</v>
      </c>
      <c r="D55" s="249" t="s">
        <v>61</v>
      </c>
      <c r="E55" s="243">
        <f>Long_tot</f>
        <v>957</v>
      </c>
      <c r="G55" s="278" t="s">
        <v>218</v>
      </c>
      <c r="H55" s="248">
        <f ca="1">Vit_culmi</f>
        <v>16.852662862048767</v>
      </c>
      <c r="I55" s="259"/>
      <c r="J55" s="268"/>
      <c r="N55" s="75"/>
    </row>
    <row r="56" spans="2:14" x14ac:dyDescent="0.2">
      <c r="B56" s="74"/>
      <c r="C56" s="276"/>
      <c r="D56" s="2" t="s">
        <v>220</v>
      </c>
      <c r="E56" s="244">
        <f>MAX(D_ref,D_ail,D_og,(RIGHT(Nb_diam,1)=",")*MAX(D1j,D1r,D2j,D2r))</f>
        <v>84</v>
      </c>
      <c r="G56" s="278" t="s">
        <v>134</v>
      </c>
      <c r="H56" s="242">
        <f ca="1">Portee_balistique</f>
        <v>809.6451793302748</v>
      </c>
      <c r="I56" s="259"/>
      <c r="J56" s="268"/>
      <c r="N56" s="75"/>
    </row>
    <row r="57" spans="2:14" x14ac:dyDescent="0.2">
      <c r="B57" s="74"/>
      <c r="C57" s="276"/>
      <c r="D57" s="2" t="s">
        <v>221</v>
      </c>
      <c r="E57" s="244">
        <f>E_ail*2+D_ail</f>
        <v>344</v>
      </c>
      <c r="G57" s="278" t="s">
        <v>215</v>
      </c>
      <c r="H57" s="242">
        <f ca="1">T_balistique</f>
        <v>58.00000000000054</v>
      </c>
      <c r="I57" s="259"/>
      <c r="J57" s="268"/>
      <c r="N57" s="75"/>
    </row>
    <row r="58" spans="2:14" x14ac:dyDescent="0.2">
      <c r="B58" s="74"/>
      <c r="C58" s="276"/>
      <c r="D58" s="2" t="s">
        <v>222</v>
      </c>
      <c r="E58" s="244">
        <f ca="1">MassePlein</f>
        <v>1.8598999999999999</v>
      </c>
      <c r="G58" s="278" t="s">
        <v>138</v>
      </c>
      <c r="H58" s="248">
        <f ca="1">Vit_max</f>
        <v>188.00645566729168</v>
      </c>
      <c r="I58" s="259"/>
      <c r="J58" s="268"/>
      <c r="N58" s="75"/>
    </row>
    <row r="59" spans="2:14" x14ac:dyDescent="0.2">
      <c r="B59" s="74"/>
      <c r="C59" s="277" t="s">
        <v>235</v>
      </c>
      <c r="D59" s="255" t="s">
        <v>146</v>
      </c>
      <c r="E59" s="260">
        <f>Q_ail</f>
        <v>3</v>
      </c>
      <c r="G59" s="278" t="s">
        <v>137</v>
      </c>
      <c r="H59" s="242">
        <f ca="1">Acc_max</f>
        <v>105.55959828125872</v>
      </c>
      <c r="I59" s="259"/>
      <c r="J59" s="268"/>
      <c r="N59" s="75"/>
    </row>
    <row r="60" spans="2:14" x14ac:dyDescent="0.2">
      <c r="B60" s="74"/>
      <c r="C60" s="12"/>
      <c r="G60" s="269" t="s">
        <v>223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227</v>
      </c>
      <c r="F61" s="243" t="s">
        <v>228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236</v>
      </c>
      <c r="D62" s="2" t="s">
        <v>226</v>
      </c>
      <c r="E62" s="242">
        <f ca="1">2*Acc_max*MassePlein</f>
        <v>392.66059368662616</v>
      </c>
      <c r="F62" s="280">
        <f ca="1">E62/9.81</f>
        <v>40.026564086302358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224</v>
      </c>
      <c r="E63" s="242">
        <f ca="1">2*Acc_max*Masse_ail</f>
        <v>22.230851398033085</v>
      </c>
      <c r="F63" s="248">
        <f ca="1">E63/9.81</f>
        <v>2.2661418346618842</v>
      </c>
      <c r="G63" s="246" t="s">
        <v>230</v>
      </c>
      <c r="H63" s="288">
        <f>S_ail*(ep_ail/1000)*2000</f>
        <v>0.1053</v>
      </c>
      <c r="I63" s="2"/>
      <c r="J63" s="2"/>
      <c r="K63" s="2"/>
      <c r="N63" s="75"/>
    </row>
    <row r="64" spans="2:14" x14ac:dyDescent="0.2">
      <c r="B64" s="74"/>
      <c r="C64" s="277"/>
      <c r="D64" s="255" t="s">
        <v>225</v>
      </c>
      <c r="E64" s="263">
        <f ca="1">0.104*S_ail*Vit_max^2</f>
        <v>64.514299240428102</v>
      </c>
      <c r="F64" s="281">
        <f ca="1">E64/9.81</f>
        <v>6.5763811662006217</v>
      </c>
      <c r="G64" s="274" t="s">
        <v>229</v>
      </c>
      <c r="H64" s="289">
        <f>(E_ail*(m_ail+n_ail)/2)/10^6</f>
        <v>1.755E-2</v>
      </c>
      <c r="I64" s="2"/>
      <c r="J64" s="2"/>
      <c r="K64" s="2"/>
      <c r="N64" s="75"/>
    </row>
    <row r="65" spans="2:14" x14ac:dyDescent="0.2">
      <c r="B65" s="74"/>
      <c r="C65" s="282" t="s">
        <v>243</v>
      </c>
      <c r="D65" s="285" t="s">
        <v>241</v>
      </c>
      <c r="E65" s="286">
        <f ca="1">2*Acc_max*H65</f>
        <v>196.33029684331308</v>
      </c>
      <c r="F65" s="286">
        <f ca="1">E65/9.81</f>
        <v>20.013282043151179</v>
      </c>
      <c r="G65" s="287" t="s">
        <v>242</v>
      </c>
      <c r="H65" s="279">
        <f ca="1">E58/2</f>
        <v>0.92994999999999994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233</v>
      </c>
      <c r="G67" s="249" t="s">
        <v>231</v>
      </c>
      <c r="H67" s="250">
        <f>T_para</f>
        <v>23</v>
      </c>
      <c r="I67" s="251">
        <f ca="1">Temps_culmi</f>
        <v>23.400000000000048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232</v>
      </c>
      <c r="G68" s="249" t="s">
        <v>130</v>
      </c>
      <c r="H68" s="250">
        <f ca="1">V_para</f>
        <v>10.912136100952658</v>
      </c>
      <c r="I68" s="251">
        <f>V_satellite</f>
        <v>10.960038730752361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238</v>
      </c>
      <c r="H69" s="247">
        <f>S_para</f>
        <v>0.24</v>
      </c>
      <c r="I69" s="253">
        <f>S_satellite</f>
        <v>0.02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237</v>
      </c>
      <c r="H70" s="247">
        <f ca="1">V_ouverture</f>
        <v>17.505106414164867</v>
      </c>
      <c r="I70" s="253" t="e">
        <f ca="1">V_ouv_sat</f>
        <v>#N/A</v>
      </c>
      <c r="N70" s="75"/>
    </row>
    <row r="71" spans="2:14" x14ac:dyDescent="0.2">
      <c r="B71" s="74"/>
      <c r="C71" s="226"/>
      <c r="F71" s="276"/>
      <c r="G71" s="2" t="s">
        <v>202</v>
      </c>
      <c r="H71" s="247">
        <f ca="1">m_vide</f>
        <v>1.7843</v>
      </c>
      <c r="I71" s="253">
        <f>m_satellite</f>
        <v>0.15</v>
      </c>
      <c r="N71" s="75"/>
    </row>
    <row r="72" spans="2:14" x14ac:dyDescent="0.2">
      <c r="B72" s="74"/>
      <c r="C72" s="226"/>
      <c r="F72" s="276"/>
      <c r="G72" s="2" t="s">
        <v>239</v>
      </c>
      <c r="H72" s="283">
        <f ca="1">1/2*Rho_moyen*S_para*V_ouverture^2</f>
        <v>45.045026333971684</v>
      </c>
      <c r="I72" s="284" t="e">
        <f ca="1">1/2*Rho_moyen*S_satellite*V_ouv_sat^2</f>
        <v>#N/A</v>
      </c>
      <c r="N72" s="75"/>
    </row>
    <row r="73" spans="2:14" x14ac:dyDescent="0.2">
      <c r="B73" s="74"/>
      <c r="D73" s="2"/>
      <c r="F73" s="277"/>
      <c r="G73" s="255" t="s">
        <v>240</v>
      </c>
      <c r="H73" s="256">
        <f ca="1">H72/9.81</f>
        <v>4.5917458036668384</v>
      </c>
      <c r="I73" s="257" t="e">
        <f ca="1">I72/9.81</f>
        <v>#N/A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333</v>
      </c>
      <c r="N78" s="75"/>
    </row>
    <row r="79" spans="2:14" ht="12.75" customHeight="1" x14ac:dyDescent="0.25">
      <c r="B79" s="74"/>
      <c r="E79" s="48"/>
      <c r="F79" s="48"/>
      <c r="G79" s="435" t="s">
        <v>339</v>
      </c>
      <c r="I79" s="448"/>
      <c r="J79" s="48"/>
      <c r="K79" s="48"/>
      <c r="N79" s="75"/>
    </row>
    <row r="80" spans="2:14" x14ac:dyDescent="0.2">
      <c r="B80" s="74"/>
      <c r="C80" s="275" t="s">
        <v>334</v>
      </c>
      <c r="D80" s="243" t="str">
        <f>Nom</f>
        <v>SP02-Beta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l'Aeroipsa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335</v>
      </c>
      <c r="D82" s="244" t="s">
        <v>14</v>
      </c>
      <c r="E82" s="273" t="s">
        <v>340</v>
      </c>
      <c r="F82" s="441">
        <f>Long_ogive</f>
        <v>275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336</v>
      </c>
      <c r="D83" s="433">
        <f ca="1">TODAY()</f>
        <v>45851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 t="str">
        <f>IF(RIGHT(Nb_diam,1)=",", "", X_j)</f>
        <v/>
      </c>
      <c r="K84" s="48"/>
      <c r="N84" s="75"/>
    </row>
    <row r="85" spans="2:14" ht="13.5" thickBot="1" x14ac:dyDescent="0.25">
      <c r="B85" s="74"/>
      <c r="C85" s="275" t="s">
        <v>337</v>
      </c>
      <c r="D85" s="243" t="str">
        <f>Propu</f>
        <v>Pandora (Pro24-6G BS)</v>
      </c>
      <c r="E85" s="273" t="s">
        <v>341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338</v>
      </c>
      <c r="D86" s="260" t="s">
        <v>14</v>
      </c>
      <c r="E86" s="48"/>
      <c r="F86" s="436"/>
      <c r="G86" s="48"/>
      <c r="H86" s="48"/>
      <c r="I86" s="48"/>
      <c r="J86" s="440" t="str">
        <f>IF(RIGHT(Nb_diam,1)=",", "", X_r)</f>
        <v/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 t="str">
        <f>IF(RIGHT(Nb_diam,1)=",", "", l_j)</f>
        <v/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342</v>
      </c>
      <c r="F90" s="440" t="str">
        <f>IF(RIGHT(Nb_diam,1)=",", "", D2j)</f>
        <v/>
      </c>
      <c r="G90" s="48"/>
      <c r="H90" s="48"/>
      <c r="I90" s="48"/>
      <c r="J90" s="441">
        <f>X_ail-m_ail</f>
        <v>767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 t="str">
        <f>IF(RIGHT(Nb_diam,1)=",", "", l_r)</f>
        <v/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343</v>
      </c>
      <c r="F94" s="440" t="str">
        <f>IF(RIGHT(Nb_diam,1)=",", "", D2r)</f>
        <v/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344</v>
      </c>
      <c r="F97" s="441">
        <f>m_ail</f>
        <v>190</v>
      </c>
      <c r="G97" s="48"/>
      <c r="H97" s="48"/>
      <c r="I97" s="48"/>
      <c r="J97" s="441">
        <f>p_ail</f>
        <v>180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346</v>
      </c>
      <c r="E100" s="246">
        <f>Q_ail</f>
        <v>3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350</v>
      </c>
      <c r="E101" s="6">
        <f ca="1">XpropuRef-Long_propu</f>
        <v>679</v>
      </c>
      <c r="F101" s="252"/>
      <c r="G101" s="48"/>
      <c r="H101" s="48"/>
      <c r="I101" s="48"/>
      <c r="J101" s="441">
        <f>n_ail</f>
        <v>80</v>
      </c>
      <c r="K101" s="2"/>
      <c r="N101" s="75"/>
    </row>
    <row r="102" spans="2:14" x14ac:dyDescent="0.2">
      <c r="B102" s="74"/>
      <c r="D102" s="437" t="s">
        <v>347</v>
      </c>
      <c r="E102" s="6">
        <f>IF(LEFT(Forme_ogive,4)="Ogiv",1,0)</f>
        <v>0</v>
      </c>
      <c r="F102" s="252" t="s">
        <v>348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160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349</v>
      </c>
      <c r="G104" s="48"/>
      <c r="H104" s="48"/>
      <c r="I104" s="48"/>
      <c r="J104" s="12" t="s">
        <v>345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130</v>
      </c>
      <c r="I105" s="273"/>
      <c r="J105" s="441">
        <f>ep_ail</f>
        <v>3</v>
      </c>
      <c r="K105" s="48"/>
      <c r="N105" s="75"/>
    </row>
    <row r="106" spans="2:14" x14ac:dyDescent="0.2">
      <c r="B106" s="74"/>
      <c r="D106" s="429"/>
      <c r="E106" s="246" t="s">
        <v>354</v>
      </c>
      <c r="F106" s="243" t="s">
        <v>353</v>
      </c>
      <c r="N106" s="75"/>
    </row>
    <row r="107" spans="2:14" x14ac:dyDescent="0.2">
      <c r="B107" s="74"/>
      <c r="D107" s="437" t="s">
        <v>351</v>
      </c>
      <c r="E107" s="6">
        <f>MasseSans</f>
        <v>1.7</v>
      </c>
      <c r="F107" s="244">
        <f ca="1">MassePlein</f>
        <v>1.8598999999999999</v>
      </c>
      <c r="N107" s="75"/>
    </row>
    <row r="108" spans="2:14" x14ac:dyDescent="0.2">
      <c r="B108" s="74"/>
      <c r="D108" s="431" t="s">
        <v>352</v>
      </c>
      <c r="E108" s="274">
        <f>XcgSans</f>
        <v>610</v>
      </c>
      <c r="F108" s="260">
        <f ca="1">XcgPlein</f>
        <v>625.73294263132436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355</v>
      </c>
      <c r="E110" s="439">
        <f ca="1">MasseVide</f>
        <v>1.7843</v>
      </c>
      <c r="G110" s="429" t="s">
        <v>356</v>
      </c>
      <c r="H110" s="265"/>
      <c r="I110" s="265"/>
      <c r="J110" s="266"/>
      <c r="N110" s="75"/>
    </row>
    <row r="111" spans="2:14" x14ac:dyDescent="0.2">
      <c r="B111" s="74"/>
      <c r="G111" s="276" t="s">
        <v>214</v>
      </c>
      <c r="H111" s="6">
        <f>Beta_rampe</f>
        <v>80.569999999999993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216</v>
      </c>
      <c r="H112" s="247">
        <f ca="1">Temps_culmi</f>
        <v>23.400000000000048</v>
      </c>
      <c r="I112" s="259"/>
      <c r="J112" s="268"/>
      <c r="N112" s="75"/>
    </row>
    <row r="113" spans="2:14" ht="12.75" customHeight="1" x14ac:dyDescent="0.25">
      <c r="B113" s="74"/>
      <c r="D113" s="435" t="s">
        <v>357</v>
      </c>
      <c r="E113" s="48"/>
      <c r="G113" s="278" t="s">
        <v>217</v>
      </c>
      <c r="H113" s="242">
        <f ca="1">Altitude_culmi</f>
        <v>2971.9988762080079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218</v>
      </c>
      <c r="H114" s="248">
        <f ca="1">Vit_culmi</f>
        <v>16.852662862048767</v>
      </c>
      <c r="I114" s="259"/>
      <c r="J114" s="268"/>
      <c r="N114" s="75"/>
    </row>
    <row r="115" spans="2:14" x14ac:dyDescent="0.2">
      <c r="B115" s="74"/>
      <c r="C115" s="429" t="s">
        <v>358</v>
      </c>
      <c r="D115" s="249"/>
      <c r="E115" s="446">
        <v>0.1</v>
      </c>
      <c r="G115" s="278" t="s">
        <v>134</v>
      </c>
      <c r="H115" s="242">
        <f ca="1">Portee_balistique</f>
        <v>809.6451793302748</v>
      </c>
      <c r="I115" s="259"/>
      <c r="J115" s="268"/>
      <c r="N115" s="75"/>
    </row>
    <row r="116" spans="2:14" ht="12.75" customHeight="1" x14ac:dyDescent="0.2">
      <c r="B116" s="74"/>
      <c r="C116" s="431" t="s">
        <v>359</v>
      </c>
      <c r="D116" s="255"/>
      <c r="E116" s="447">
        <f>E_ail*(m_ail+n_ail)/2</f>
        <v>17550</v>
      </c>
      <c r="G116" s="278" t="s">
        <v>138</v>
      </c>
      <c r="H116" s="248">
        <f ca="1">Vit_max</f>
        <v>188.00645566729168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137</v>
      </c>
      <c r="H117" s="242">
        <f ca="1">Acc_max</f>
        <v>105.55959828125872</v>
      </c>
      <c r="I117" s="259"/>
      <c r="J117" s="268"/>
      <c r="N117" s="75"/>
    </row>
    <row r="118" spans="2:14" x14ac:dyDescent="0.2">
      <c r="B118" s="74"/>
      <c r="C118" s="429" t="s">
        <v>360</v>
      </c>
      <c r="D118" s="249"/>
      <c r="E118" s="457"/>
      <c r="F118" s="458">
        <f>J90/100</f>
        <v>7.67</v>
      </c>
      <c r="G118" s="276" t="s">
        <v>5</v>
      </c>
      <c r="H118" s="6">
        <f>Cx</f>
        <v>0.4</v>
      </c>
      <c r="I118" s="259"/>
      <c r="J118" s="268"/>
      <c r="N118" s="75"/>
    </row>
    <row r="119" spans="2:14" x14ac:dyDescent="0.2">
      <c r="B119" s="74"/>
      <c r="C119" s="437" t="s">
        <v>361</v>
      </c>
      <c r="D119" s="2"/>
      <c r="E119" s="459">
        <f ca="1">2*Acc_max*MasseSans</f>
        <v>358.90263415627965</v>
      </c>
      <c r="F119" s="460">
        <f ca="1">E119/g</f>
        <v>36.585385744778762</v>
      </c>
      <c r="G119" s="269" t="s">
        <v>223</v>
      </c>
      <c r="H119" s="270"/>
      <c r="I119" s="270"/>
      <c r="J119" s="271"/>
      <c r="N119" s="75"/>
    </row>
    <row r="120" spans="2:14" x14ac:dyDescent="0.2">
      <c r="B120" s="74"/>
      <c r="C120" s="437" t="s">
        <v>362</v>
      </c>
      <c r="D120" s="2"/>
      <c r="E120" s="459">
        <f ca="1">2*Acc_max*E115</f>
        <v>21.111919656251743</v>
      </c>
      <c r="F120" s="460">
        <f ca="1">E120/g</f>
        <v>2.1520815143987506</v>
      </c>
      <c r="N120" s="75"/>
    </row>
    <row r="121" spans="2:14" x14ac:dyDescent="0.2">
      <c r="B121" s="74"/>
      <c r="C121" s="431" t="s">
        <v>363</v>
      </c>
      <c r="D121" s="255"/>
      <c r="E121" s="452">
        <f ca="1">0.104*E116/1000000*Vit_max^2</f>
        <v>64.514299240428102</v>
      </c>
      <c r="F121" s="453">
        <f ca="1">E121/g</f>
        <v>6.5763811662006217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364</v>
      </c>
      <c r="E124" s="448"/>
      <c r="J124" s="48"/>
      <c r="K124" s="48"/>
      <c r="N124" s="75"/>
    </row>
    <row r="125" spans="2:14" x14ac:dyDescent="0.2">
      <c r="B125" s="74"/>
      <c r="C125" s="445" t="s">
        <v>365</v>
      </c>
      <c r="J125" s="48"/>
      <c r="K125" s="48"/>
      <c r="N125" s="75"/>
    </row>
    <row r="126" spans="2:14" x14ac:dyDescent="0.2">
      <c r="B126" s="74"/>
      <c r="C126" s="429" t="s">
        <v>366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367</v>
      </c>
      <c r="D127" s="255"/>
      <c r="E127" s="456">
        <f>S_para</f>
        <v>0.24</v>
      </c>
      <c r="G127" s="48"/>
      <c r="J127" s="48"/>
      <c r="N127" s="75"/>
    </row>
    <row r="128" spans="2:14" x14ac:dyDescent="0.2">
      <c r="B128" s="74"/>
      <c r="C128" s="660" t="s">
        <v>368</v>
      </c>
      <c r="D128" s="661"/>
      <c r="E128" s="450">
        <f ca="1">0.5*Rho_moyen*S_para*Vit_culmi^2</f>
        <v>41.749800094656024</v>
      </c>
      <c r="F128" s="451">
        <f ca="1">E128/g</f>
        <v>4.2558409882422037</v>
      </c>
      <c r="H128" s="48"/>
      <c r="I128" s="48"/>
      <c r="J128" s="48"/>
      <c r="K128" s="48"/>
      <c r="N128" s="75"/>
    </row>
    <row r="129" spans="2:14" x14ac:dyDescent="0.2">
      <c r="B129" s="74"/>
      <c r="C129" s="658" t="s">
        <v>369</v>
      </c>
      <c r="D129" s="659"/>
      <c r="E129" s="452">
        <f ca="1">E128/E126*2</f>
        <v>20.874900047328012</v>
      </c>
      <c r="F129" s="453">
        <f ca="1">E129/g</f>
        <v>2.1279204941211018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370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0" t="s">
        <v>371</v>
      </c>
      <c r="D132" s="661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58" t="s">
        <v>372</v>
      </c>
      <c r="D133" s="659"/>
      <c r="E133" s="455">
        <f ca="1">2*E132*Acc_max/g</f>
        <v>21.520815143987505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  <mergeCell ref="E31:G31"/>
    <mergeCell ref="M29:M30"/>
    <mergeCell ref="H30:I30"/>
    <mergeCell ref="L29:L30"/>
    <mergeCell ref="H31:I31"/>
    <mergeCell ref="C133:D133"/>
    <mergeCell ref="C128:D128"/>
    <mergeCell ref="C129:D129"/>
    <mergeCell ref="C132:D132"/>
    <mergeCell ref="H44:I44"/>
    <mergeCell ref="H45:I45"/>
    <mergeCell ref="H46:I46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 r:id="rId1"/>
  <ignoredErrors>
    <ignoredError sqref="H65 H6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2025-07-13T17:24:23Z</dcterms:modified>
</cp:coreProperties>
</file>